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userName="Sarah Howdeshelt" algorithmName="SHA-512" hashValue="8x2kE/IILjusq1iWdbANnzEQ8llnyebbzIgGy1Pzy1l8+lIctFq6ncdv44p7h5z+HwoIVRu8otYMCx6COqlmUA==" saltValue="Oe678d9Cc5b20IweQ9ZZtA==" spinCount="100000"/>
  <workbookPr updateLinks="never" codeName="ThisWorkbook" hidePivotFieldList="1" defaultThemeVersion="124226"/>
  <mc:AlternateContent xmlns:mc="http://schemas.openxmlformats.org/markup-compatibility/2006">
    <mc:Choice Requires="x15">
      <x15ac:absPath xmlns:x15ac="http://schemas.microsoft.com/office/spreadsheetml/2010/11/ac" url="https://aescloud.sharepoint.com/sites/DPLTransmissionFiling/Shared Documents/General/Filings/2024 Formula Rate/Filed Docs with password- transmission/"/>
    </mc:Choice>
  </mc:AlternateContent>
  <xr:revisionPtr revIDLastSave="0" documentId="8_{46D92999-D1CE-43D6-BFB9-CD872A27E0B6}" xr6:coauthVersionLast="47" xr6:coauthVersionMax="47" xr10:uidLastSave="{00000000-0000-0000-0000-000000000000}"/>
  <workbookProtection workbookAlgorithmName="SHA-512" workbookHashValue="Sebo2PHbbu1L8L6yzbMWmzKcUOCM+nzhrhpD/VJ9F8bFoeh89DdHgYY4v0ZCWpqDwJxibLfU0nXy0ajfPdvKYg==" workbookSaltValue="saDxE3A6AQJBYklqnrkZag==" workbookSpinCount="100000" lockStructure="1"/>
  <bookViews>
    <workbookView xWindow="-28920" yWindow="-120" windowWidth="29040" windowHeight="15840" tabRatio="788" xr2:uid="{00000000-000D-0000-FFFF-FFFF00000000}"/>
  </bookViews>
  <sheets>
    <sheet name="Appendix A" sheetId="1" r:id="rId1"/>
    <sheet name="1A - ADIT" sheetId="2" r:id="rId2"/>
    <sheet name="1B - ADIT Proration" sheetId="42" r:id="rId3"/>
    <sheet name="1C - ADIT Prior Year" sheetId="14" r:id="rId4"/>
    <sheet name="1D - ADIT True-up" sheetId="43" r:id="rId5"/>
    <sheet name="1E - ADIT True-Up Proration" sheetId="44" r:id="rId6"/>
    <sheet name="2 - Other Taxes" sheetId="4" r:id="rId7"/>
    <sheet name="3 - Revenue Credits" sheetId="5" r:id="rId8"/>
    <sheet name="4 - Cost Support" sheetId="7" r:id="rId9"/>
    <sheet name="5 - CWIP in Rate Base" sheetId="41" r:id="rId10"/>
    <sheet name="6A - NITS True-Up " sheetId="8" r:id="rId11"/>
    <sheet name="6B - Schedule 12 True-Up" sheetId="49" r:id="rId12"/>
    <sheet name="7A - Project ROE Adder" sheetId="46" r:id="rId13"/>
    <sheet name="7B - Schedule 12 Projects" sheetId="47" r:id="rId14"/>
    <sheet name="8 - Depreciations Rates" sheetId="38" r:id="rId15"/>
    <sheet name="9 - Excess ADIT" sheetId="40" r:id="rId16"/>
    <sheet name="10 - Misc. Liabilities" sheetId="45" r:id="rId17"/>
    <sheet name="11 - Corrections" sheetId="48" r:id="rId18"/>
    <sheet name="12 - Schedule 1A" sheetId="50" r:id="rId19"/>
    <sheet name="13 - A&amp;G Detail" sheetId="5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__DAT1">#REF!</definedName>
    <definedName name="__DAT10">#REF!</definedName>
    <definedName name="__DAT11">#REF!</definedName>
    <definedName name="__DAT12">#REF!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4">#REF!</definedName>
    <definedName name="_DAT5">#REF!</definedName>
    <definedName name="_DAT6">#REF!</definedName>
    <definedName name="_DAT7">#REF!</definedName>
    <definedName name="_DAT8">#REF!</definedName>
    <definedName name="_DAT9">#REF!</definedName>
    <definedName name="_Sep07">[1]Sheet1!$A$2:$AI$18</definedName>
    <definedName name="_tax756">'[2]99Consolidated'!$L$40</definedName>
    <definedName name="aaa">#REF!</definedName>
    <definedName name="aaaaa">#REF!</definedName>
    <definedName name="aafdfds">#REF!</definedName>
    <definedName name="acqui">#REF!</definedName>
    <definedName name="acquire">#REF!</definedName>
    <definedName name="add">#REF!</definedName>
    <definedName name="addition">#REF!</definedName>
    <definedName name="ADDITIONS">'[3]101 &amp;106 BY MON'!$B$9:$Q$64</definedName>
    <definedName name="addn">#REF!</definedName>
    <definedName name="addns">#REF!</definedName>
    <definedName name="addns101">#REF!</definedName>
    <definedName name="addns107">#REF!</definedName>
    <definedName name="adds">#REF!</definedName>
    <definedName name="April">#REF!</definedName>
    <definedName name="apriladd">#REF!</definedName>
    <definedName name="AprilBdgt">#REF!</definedName>
    <definedName name="AprilYTD">#REF!</definedName>
    <definedName name="August">#REF!</definedName>
    <definedName name="AugustBdgt">#REF!</definedName>
    <definedName name="AugustYTD">#REF!</definedName>
    <definedName name="CBWorkbookPriority" hidden="1">-2027624740</definedName>
    <definedName name="cddd">#REF!</definedName>
    <definedName name="Central">#REF!</definedName>
    <definedName name="Company">#REF!</definedName>
    <definedName name="current">#REF!</definedName>
    <definedName name="CurrMonth">'[4]Work Plan'!#REF!</definedName>
    <definedName name="Cust_OpsMonth">'[5]Customer Operations'!$P$8:$AC$73</definedName>
    <definedName name="Cust_OpsYTD">'[6]Customer Operations'!$A$8:$AI$90</definedName>
    <definedName name="cwip">#REF!</definedName>
    <definedName name="cwipadds">#REF!</definedName>
    <definedName name="d">[7]DistrictMarginContracts!$A$301</definedName>
    <definedName name="damage">#REF!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5">#REF!</definedName>
    <definedName name="DATA6">#REF!</definedName>
    <definedName name="DATA7">#REF!</definedName>
    <definedName name="DATA8">#REF!</definedName>
    <definedName name="DATA9">#REF!</definedName>
    <definedName name="_xlnm.Database">#REF!</definedName>
    <definedName name="December">#REF!</definedName>
    <definedName name="DecemberBdgt">#REF!</definedName>
    <definedName name="DecemberYTD">#REF!</definedName>
    <definedName name="dftydrtg">[8]Reporting_Period!$B$2</definedName>
    <definedName name="direct">#REF!</definedName>
    <definedName name="EconomicCOpsMonth">'[6]Customer Operations'!$P$44:$AD$83</definedName>
    <definedName name="EconomicCOpsYTD">'[6]Customer Operations'!$A$43:$N$84</definedName>
    <definedName name="EconomicEDMonth">[9]Elec!$P$36:$AA$48</definedName>
    <definedName name="EconomicEDYTD">[9]Elec!$A$36:$N$48</definedName>
    <definedName name="EconomicGasMonth">'[10]Gas Delivery'!$M$38:$X$51</definedName>
    <definedName name="EconomicGasYTD">'[10]Gas Delivery'!$A$38:$L$52</definedName>
    <definedName name="EconomicMonth">'[11]PSE&amp;G_EconomicSummary'!$L$41:$V$52</definedName>
    <definedName name="EconomicResMonth">'[12]PSE&amp;G'!$J$26:$P$33</definedName>
    <definedName name="EconomicResYTD">'[12]PSE&amp;G'!$A$26:$I$33</definedName>
    <definedName name="EconomicYTD">"'PSE&amp;G'!$A$7:$A$56"</definedName>
    <definedName name="Elec_DelMonth">[9]Elec!$P$8:$AA$64</definedName>
    <definedName name="Elec_DelYTD">[13]Elec!$A$8:$O$55</definedName>
    <definedName name="ewtgdfgsd">#REF!</definedName>
    <definedName name="fb">#REF!</definedName>
    <definedName name="February">#REF!</definedName>
    <definedName name="FebruaryBdgt">#REF!</definedName>
    <definedName name="FebruaryYTD">#REF!</definedName>
    <definedName name="Febwbs">#REF!</definedName>
    <definedName name="Format">#REF!</definedName>
    <definedName name="G3911001">#REF!</definedName>
    <definedName name="GasMonth">'[10]Gas Delivery'!$M$8:$W$60</definedName>
    <definedName name="GasYTD">'[10]Gas Delivery'!$A$8:$L$60</definedName>
    <definedName name="general">#REF!</definedName>
    <definedName name="GL_Name">#REF!</definedName>
    <definedName name="GreenEnergyCOpsMonth">'[6]Customer Operations'!$P$65:$AB$78</definedName>
    <definedName name="GreenEnergyEDMonth">[9]Elec!$P$45:$AA$48</definedName>
    <definedName name="GreenEnergyGasMonth">'[10]Gas Delivery'!$M$49:$X$60</definedName>
    <definedName name="GreenEnergyMonth">'[14]PSE&amp;G_GreenEnergySummary'!$L$55:$V$62</definedName>
    <definedName name="GreenEnergyYTD">'[15]PSE&amp;G_GreenEnergySummary'!$A$55:$J$65</definedName>
    <definedName name="IN_SERVICE_TRANSFER">'[3]101 &amp;106 BY MON'!$B$77:$Q$132</definedName>
    <definedName name="info">#REF!</definedName>
    <definedName name="January">#REF!</definedName>
    <definedName name="JanuaryBdgt">#REF!</definedName>
    <definedName name="JanuaryYTD">#REF!</definedName>
    <definedName name="July">#REF!</definedName>
    <definedName name="JulyBdgt">#REF!</definedName>
    <definedName name="JulyYTD">#REF!</definedName>
    <definedName name="June">#REF!</definedName>
    <definedName name="JuneBdgt">#REF!</definedName>
    <definedName name="JuneYTD">#REF!</definedName>
    <definedName name="jutyurt">#REF!</definedName>
    <definedName name="kfhjukuyikuyi">#REF!</definedName>
    <definedName name="kjgh">#REF!</definedName>
    <definedName name="March">#REF!</definedName>
    <definedName name="MarchBdgt">#REF!</definedName>
    <definedName name="MarchYTD">#REF!</definedName>
    <definedName name="May">#REF!</definedName>
    <definedName name="MayBdgt">#REF!</definedName>
    <definedName name="MayYTD">#REF!</definedName>
    <definedName name="metro">#REF!</definedName>
    <definedName name="Metropolitan">#REF!</definedName>
    <definedName name="Mnthlyspred">#REF!</definedName>
    <definedName name="Month">#REF!</definedName>
    <definedName name="MonthlySpread">#REF!</definedName>
    <definedName name="November">#REF!</definedName>
    <definedName name="NovemberBdgt">#REF!</definedName>
    <definedName name="NovemberYTD">#REF!</definedName>
    <definedName name="October">#REF!</definedName>
    <definedName name="OctoberBdgt">#REF!</definedName>
    <definedName name="OctoberYTD">#REF!</definedName>
    <definedName name="pal">#REF!</definedName>
    <definedName name="Palisades">#REF!</definedName>
    <definedName name="PeopleCOpsMonth">'[16]Customer Operations'!$P$9:$AC$18</definedName>
    <definedName name="PeopleCOpsYTD">'[16]Customer Operations'!$A$9:$O$18</definedName>
    <definedName name="PeopleEDMonth">[17]Elec!$P$8:$AC$17</definedName>
    <definedName name="PeopleEDYTD">[17]Elec!$A$8:$O$17</definedName>
    <definedName name="PeopleGasMonth">'[18]Gas Delivery'!$M$8:$W$15</definedName>
    <definedName name="PeopleGasYTD">'[18]Gas Delivery'!$A$8:$K$15</definedName>
    <definedName name="PeopleMonth">'[19]PSE&amp;GPeopleSummary'!$L$8:$V$18</definedName>
    <definedName name="PeopleResMonth">'[20]PSE&amp;G'!$H$8:$M$14</definedName>
    <definedName name="PeopleResYTD">'[20]PSE&amp;G'!$A$8:$G$14</definedName>
    <definedName name="PeopleYTD">'[19]PSE&amp;GPeopleSummary'!$A$8:$K$21</definedName>
    <definedName name="Plan">'[21]Sel Assign Match %'!$M$2</definedName>
    <definedName name="_xlnm.Print_Area" localSheetId="16">'10 - Misc. Liabilities'!$A$1:$R$28</definedName>
    <definedName name="_xlnm.Print_Area" localSheetId="18">'12 - Schedule 1A'!$A$1:$M$21</definedName>
    <definedName name="_xlnm.Print_Area" localSheetId="1">'1A - ADIT'!$A$1:$I$100</definedName>
    <definedName name="_xlnm.Print_Area" localSheetId="2">'1B - ADIT Proration'!$A$1:$S$28</definedName>
    <definedName name="_xlnm.Print_Area" localSheetId="3">'1C - ADIT Prior Year'!$A$1:$I$95</definedName>
    <definedName name="_xlnm.Print_Area" localSheetId="5">'1E - ADIT True-Up Proration'!$A$1:$Q$55</definedName>
    <definedName name="_xlnm.Print_Area" localSheetId="6">'2 - Other Taxes'!$A$1:$J$48</definedName>
    <definedName name="_xlnm.Print_Area" localSheetId="7">'3 - Revenue Credits'!$A$1:$F$43</definedName>
    <definedName name="_xlnm.Print_Area" localSheetId="8">'4 - Cost Support'!$A$1:$V$345</definedName>
    <definedName name="_xlnm.Print_Area" localSheetId="10">'6A - NITS True-Up '!$A$1:$L$75</definedName>
    <definedName name="_xlnm.Print_Area" localSheetId="11">'6B - Schedule 12 True-Up'!$A$1:$K$76</definedName>
    <definedName name="_xlnm.Print_Area" localSheetId="12">'7A - Project ROE Adder'!$A$1:$Z$21</definedName>
    <definedName name="_xlnm.Print_Area" localSheetId="13">'7B - Schedule 12 Projects'!$A$1:$Z$34</definedName>
    <definedName name="_xlnm.Print_Area" localSheetId="14">'8 - Depreciations Rates'!$A$1:$F$43</definedName>
    <definedName name="_xlnm.Print_Area" localSheetId="15">'9 - Excess ADIT'!$A$1:$Z$81</definedName>
    <definedName name="_xlnm.Print_Area" localSheetId="0">'Appendix A'!$A$3:$H$318</definedName>
    <definedName name="_xlnm.Print_Area">#REF!</definedName>
    <definedName name="_xlnm.Print_Titles" localSheetId="8">'4 - Cost Support'!$1:$3</definedName>
    <definedName name="_xlnm.Print_Titles" localSheetId="0">'Appendix A'!$2:$6</definedName>
    <definedName name="PROJ">#REF!</definedName>
    <definedName name="project">#REF!</definedName>
    <definedName name="Qe">#REF!</definedName>
    <definedName name="RECLASSES">'[3]101 &amp;106 BY MON'!$B$280:$Q$326</definedName>
    <definedName name="report">[8]Reporting_Period!$B$4</definedName>
    <definedName name="report_month">[22]PeopleMenu!$D$4</definedName>
    <definedName name="report_month_new">[23]Reporting_Period!$B$4</definedName>
    <definedName name="report_quarter">[22]PeopleMenu!$D$3</definedName>
    <definedName name="report_quarter_new">[23]Reporting_Period!$B$3</definedName>
    <definedName name="report_year">[24]PeopleMenu!$D$2</definedName>
    <definedName name="RES_Month">'[12]PSE&amp;G'!$J$8:$P$44</definedName>
    <definedName name="RES_YTD">'[12]PSE&amp;G'!$A$8:$H$44</definedName>
    <definedName name="retire">#REF!</definedName>
    <definedName name="retired">#REF!</definedName>
    <definedName name="RETIREMENTS">'[3]101 &amp;106 BY MON'!$B$213:$Q$266</definedName>
    <definedName name="RptBudget">'[4]Work Plan'!#REF!</definedName>
    <definedName name="RptMonth">'[25]Work Plan'!$H$303</definedName>
    <definedName name="rqrwqfas">#REF!</definedName>
    <definedName name="rterteq">#REF!</definedName>
    <definedName name="SafeReliableCOpsMonth">'[5]Customer Operations'!$P$20:$AD$42</definedName>
    <definedName name="SafeReliableCOpsYTD">'[5]Customer Operations'!$A$20:$O$42</definedName>
    <definedName name="SafeReliableEDMonth">[13]Elec!$P$20:$AC$33</definedName>
    <definedName name="SafeReliableEDYTD">[13]Elec!$A$20:$N$34</definedName>
    <definedName name="SafeReliableGasMonth">'[26]Gas Delivery'!$M$18:$W$35</definedName>
    <definedName name="SafeReliableGasYTD">'[26]Gas Delivery'!$A$18:$K$37</definedName>
    <definedName name="SafeReliableMonth">'[27]PSE&amp;GSafeReliableSummary'!$L$21:$V$38</definedName>
    <definedName name="SafeReliableResMonth">'[20]PSE&amp;G'!$J$17:$R$23</definedName>
    <definedName name="SafeReliableResYTD">'[20]PSE&amp;G'!$A$17:$I$25</definedName>
    <definedName name="SafeReliableYTD">'[27]PSE&amp;GSafeReliableSummary'!$A$21:$K$38</definedName>
    <definedName name="SAP">#REF!</definedName>
    <definedName name="September">#REF!</definedName>
    <definedName name="SeptemberBdgt">#REF!</definedName>
    <definedName name="SeptemberYTD">#REF!</definedName>
    <definedName name="service">#REF!</definedName>
    <definedName name="solver_adj" localSheetId="0" hidden="1">'Appendix A'!#REF!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'Appendix A'!#REF!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Sort">#REF!</definedName>
    <definedName name="sou">#REF!</definedName>
    <definedName name="Southern">#REF!</definedName>
    <definedName name="stim">#REF!</definedName>
    <definedName name="tab">#REF!</definedName>
    <definedName name="Target_09">'[28]PSE&amp;G'!$A$8:$Z$64</definedName>
    <definedName name="TBLReforecastPM">#REF!</definedName>
    <definedName name="TEST0">#REF!</definedName>
    <definedName name="TESTHKEY">#REF!</definedName>
    <definedName name="TESTKEYS">#REF!</definedName>
    <definedName name="TESTVKEY">#REF!</definedName>
    <definedName name="tetyhdrt">[8]Reporting_Period!$B$3</definedName>
    <definedName name="tgr">'[29]PSE&amp;G'!$A$6:$Z$67</definedName>
    <definedName name="TimeList">#REF!</definedName>
    <definedName name="total">#REF!</definedName>
    <definedName name="toy">#REF!</definedName>
    <definedName name="trans">#REF!</definedName>
    <definedName name="TRANSFER">'[3]101 &amp;106 BY MON'!$B$145:$Q$200</definedName>
    <definedName name="tyertre">#REF!</definedName>
    <definedName name="tyetyrt">'[29]PSE&amp;G'!$A$6:$Z$67</definedName>
    <definedName name="tyeye">[8]Reporting_Period!$B$4</definedName>
    <definedName name="ups">#REF!</definedName>
    <definedName name="wbs">#REF!</definedName>
    <definedName name="Year">[30]Data!$B$18</definedName>
    <definedName name="Z_28948E05_8F34_4F1E_96FB_A80A6A844600_.wvu.Cols" localSheetId="1" hidden="1">'1A - ADIT'!#REF!</definedName>
    <definedName name="Z_28948E05_8F34_4F1E_96FB_A80A6A844600_.wvu.Cols" localSheetId="3" hidden="1">'1C - ADIT Prior Year'!#REF!</definedName>
    <definedName name="Z_28948E05_8F34_4F1E_96FB_A80A6A844600_.wvu.PrintArea" localSheetId="1" hidden="1">'1A - ADIT'!$B$1:$I$88</definedName>
    <definedName name="Z_28948E05_8F34_4F1E_96FB_A80A6A844600_.wvu.PrintArea" localSheetId="3" hidden="1">'1C - ADIT Prior Year'!$B$1:$I$82</definedName>
    <definedName name="Z_28948E05_8F34_4F1E_96FB_A80A6A844600_.wvu.PrintArea" localSheetId="7" hidden="1">'3 - Revenue Credits'!$A$2:$D$38</definedName>
    <definedName name="Z_28948E05_8F34_4F1E_96FB_A80A6A844600_.wvu.PrintArea" localSheetId="0" hidden="1">'Appendix A'!$A$2:$H$305</definedName>
    <definedName name="Z_28948E05_8F34_4F1E_96FB_A80A6A844600_.wvu.Rows" localSheetId="0" hidden="1">'Appendix A'!#REF!</definedName>
    <definedName name="Z_3A38DF7A_C35E_4DD3_9893_26310A3EF836_.wvu.PrintArea" localSheetId="7" hidden="1">'3 - Revenue Credits'!$A$2:$D$38</definedName>
    <definedName name="Z_3A38DF7A_C35E_4DD3_9893_26310A3EF836_.wvu.PrintArea" localSheetId="0" hidden="1">'Appendix A'!$A$2:$H$305</definedName>
    <definedName name="Z_416404B7_8533_4A12_ABD0_58CFDEB49D80_.wvu.PrintArea" localSheetId="1" hidden="1">'1A - ADIT'!$B$1:$I$98</definedName>
    <definedName name="Z_416404B7_8533_4A12_ABD0_58CFDEB49D80_.wvu.PrintArea" localSheetId="3" hidden="1">'1C - ADIT Prior Year'!$B$1:$I$87</definedName>
    <definedName name="Z_416404B7_8533_4A12_ABD0_58CFDEB49D80_.wvu.PrintArea" localSheetId="6" hidden="1">'2 - Other Taxes'!$A$1:$H$61</definedName>
    <definedName name="Z_416404B7_8533_4A12_ABD0_58CFDEB49D80_.wvu.PrintArea" localSheetId="7" hidden="1">'3 - Revenue Credits'!$A$2:$D$41</definedName>
    <definedName name="Z_416404B7_8533_4A12_ABD0_58CFDEB49D80_.wvu.PrintArea" localSheetId="8" hidden="1">'4 - Cost Support'!$A$1:$U$197</definedName>
    <definedName name="Z_416404B7_8533_4A12_ABD0_58CFDEB49D80_.wvu.PrintArea" localSheetId="10" hidden="1">'6A - NITS True-Up '!$B$1:$L$71</definedName>
    <definedName name="Z_416404B7_8533_4A12_ABD0_58CFDEB49D80_.wvu.PrintArea" localSheetId="11" hidden="1">'6B - Schedule 12 True-Up'!$B$1:$L$71</definedName>
    <definedName name="Z_416404B7_8533_4A12_ABD0_58CFDEB49D80_.wvu.PrintArea" localSheetId="0" hidden="1">'Appendix A'!$A$3:$H$308</definedName>
    <definedName name="Z_416404B7_8533_4A12_ABD0_58CFDEB49D80_.wvu.PrintTitles" localSheetId="8" hidden="1">'4 - Cost Support'!$1:$4</definedName>
    <definedName name="Z_416404B7_8533_4A12_ABD0_58CFDEB49D80_.wvu.PrintTitles" localSheetId="0" hidden="1">'Appendix A'!$2:$6</definedName>
    <definedName name="Z_4C7C2344_134C_465A_ADEB_A5E96AAE2308_.wvu.PrintArea" localSheetId="7" hidden="1">'3 - Revenue Credits'!$A$2:$D$38</definedName>
    <definedName name="Z_4C7C2344_134C_465A_ADEB_A5E96AAE2308_.wvu.PrintArea" localSheetId="0" hidden="1">'Appendix A'!$A$2:$H$305</definedName>
    <definedName name="Z_63011E91_4609_4523_98FE_FD252E915668_.wvu.Cols" localSheetId="1" hidden="1">'1A - ADIT'!#REF!</definedName>
    <definedName name="Z_63011E91_4609_4523_98FE_FD252E915668_.wvu.Cols" localSheetId="3" hidden="1">'1C - ADIT Prior Year'!#REF!</definedName>
    <definedName name="Z_63011E91_4609_4523_98FE_FD252E915668_.wvu.PrintArea" localSheetId="1" hidden="1">'1A - ADIT'!$B$1:$I$88</definedName>
    <definedName name="Z_63011E91_4609_4523_98FE_FD252E915668_.wvu.PrintArea" localSheetId="3" hidden="1">'1C - ADIT Prior Year'!$B$1:$I$82</definedName>
    <definedName name="Z_6928E596_79BD_4CEC_9F0D_07E62D69B2A5_.wvu.Cols" localSheetId="1" hidden="1">'1A - ADIT'!#REF!</definedName>
    <definedName name="Z_6928E596_79BD_4CEC_9F0D_07E62D69B2A5_.wvu.Cols" localSheetId="3" hidden="1">'1C - ADIT Prior Year'!#REF!</definedName>
    <definedName name="Z_6928E596_79BD_4CEC_9F0D_07E62D69B2A5_.wvu.PrintArea" localSheetId="1" hidden="1">'1A - ADIT'!$B$1:$I$88</definedName>
    <definedName name="Z_6928E596_79BD_4CEC_9F0D_07E62D69B2A5_.wvu.PrintArea" localSheetId="3" hidden="1">'1C - ADIT Prior Year'!$B$1:$I$82</definedName>
    <definedName name="Z_71B42B22_A376_44B5_B0C1_23FC1AA3DBA2_.wvu.Cols" localSheetId="1" hidden="1">'1A - ADIT'!#REF!</definedName>
    <definedName name="Z_71B42B22_A376_44B5_B0C1_23FC1AA3DBA2_.wvu.Cols" localSheetId="3" hidden="1">'1C - ADIT Prior Year'!#REF!</definedName>
    <definedName name="Z_71B42B22_A376_44B5_B0C1_23FC1AA3DBA2_.wvu.PrintArea" localSheetId="1" hidden="1">'1A - ADIT'!$B$1:$I$88</definedName>
    <definedName name="Z_71B42B22_A376_44B5_B0C1_23FC1AA3DBA2_.wvu.PrintArea" localSheetId="3" hidden="1">'1C - ADIT Prior Year'!$B$1:$I$82</definedName>
    <definedName name="Z_71B42B22_A376_44B5_B0C1_23FC1AA3DBA2_.wvu.PrintArea" localSheetId="7" hidden="1">'3 - Revenue Credits'!$A$2:$D$38</definedName>
    <definedName name="Z_71B42B22_A376_44B5_B0C1_23FC1AA3DBA2_.wvu.PrintArea" localSheetId="0" hidden="1">'Appendix A'!$A$2:$H$305</definedName>
    <definedName name="Z_71B42B22_A376_44B5_B0C1_23FC1AA3DBA2_.wvu.Rows" localSheetId="0" hidden="1">'Appendix A'!#REF!</definedName>
    <definedName name="Z_8FBB4DC9_2D51_4AB9_80D8_F8474B404C29_.wvu.Cols" localSheetId="1" hidden="1">'1A - ADIT'!#REF!</definedName>
    <definedName name="Z_8FBB4DC9_2D51_4AB9_80D8_F8474B404C29_.wvu.Cols" localSheetId="3" hidden="1">'1C - ADIT Prior Year'!#REF!</definedName>
    <definedName name="Z_8FBB4DC9_2D51_4AB9_80D8_F8474B404C29_.wvu.PrintArea" localSheetId="1" hidden="1">'1A - ADIT'!$B$1:$I$88</definedName>
    <definedName name="Z_8FBB4DC9_2D51_4AB9_80D8_F8474B404C29_.wvu.PrintArea" localSheetId="3" hidden="1">'1C - ADIT Prior Year'!$B$1:$I$82</definedName>
    <definedName name="Z_B647CB7F_C846_4278_B6B1_1EF7F3C004F5_.wvu.Cols" localSheetId="1" hidden="1">'1A - ADIT'!#REF!</definedName>
    <definedName name="Z_B647CB7F_C846_4278_B6B1_1EF7F3C004F5_.wvu.Cols" localSheetId="3" hidden="1">'1C - ADIT Prior Year'!#REF!</definedName>
    <definedName name="Z_B647CB7F_C846_4278_B6B1_1EF7F3C004F5_.wvu.PrintArea" localSheetId="1" hidden="1">'1A - ADIT'!$B$1:$I$88</definedName>
    <definedName name="Z_B647CB7F_C846_4278_B6B1_1EF7F3C004F5_.wvu.PrintArea" localSheetId="3" hidden="1">'1C - ADIT Prior Year'!$B$1:$I$82</definedName>
    <definedName name="Z_DA967730_B71F_4038_B1B7_9D4790729C5D_.wvu.PrintArea" localSheetId="7" hidden="1">'3 - Revenue Credits'!$A$2:$D$38</definedName>
    <definedName name="Z_DA967730_B71F_4038_B1B7_9D4790729C5D_.wvu.PrintArea" localSheetId="0" hidden="1">'Appendix A'!$A$2:$H$305</definedName>
    <definedName name="Z_DC91DEF3_837B_4BB9_A81E_3B78C5914E6C_.wvu.Cols" localSheetId="1" hidden="1">'1A - ADIT'!#REF!</definedName>
    <definedName name="Z_DC91DEF3_837B_4BB9_A81E_3B78C5914E6C_.wvu.Cols" localSheetId="3" hidden="1">'1C - ADIT Prior Year'!#REF!</definedName>
    <definedName name="Z_DC91DEF3_837B_4BB9_A81E_3B78C5914E6C_.wvu.PrintArea" localSheetId="1" hidden="1">'1A - ADIT'!$B$1:$I$88</definedName>
    <definedName name="Z_DC91DEF3_837B_4BB9_A81E_3B78C5914E6C_.wvu.PrintArea" localSheetId="3" hidden="1">'1C - ADIT Prior Year'!$B$1:$I$82</definedName>
    <definedName name="Z_DC91DEF3_837B_4BB9_A81E_3B78C5914E6C_.wvu.PrintArea" localSheetId="7" hidden="1">'3 - Revenue Credits'!$A$2:$D$38</definedName>
    <definedName name="Z_DC91DEF3_837B_4BB9_A81E_3B78C5914E6C_.wvu.PrintArea" localSheetId="0" hidden="1">'Appendix A'!$A$2:$H$305</definedName>
    <definedName name="Z_F96D6087_3330_4A81_95EC_26BA83722A49_.wvu.PrintArea" localSheetId="7" hidden="1">'3 - Revenue Credits'!$A$2:$D$38</definedName>
    <definedName name="Z_F96D6087_3330_4A81_95EC_26BA83722A49_.wvu.PrintArea" localSheetId="0" hidden="1">'Appendix A'!$A$2:$H$305</definedName>
    <definedName name="Z_FAAD9AAC_1337_43AB_BF1F_CCF9DFCF5B78_.wvu.Cols" localSheetId="1" hidden="1">'1A - ADIT'!#REF!</definedName>
    <definedName name="Z_FAAD9AAC_1337_43AB_BF1F_CCF9DFCF5B78_.wvu.Cols" localSheetId="3" hidden="1">'1C - ADIT Prior Year'!#REF!</definedName>
    <definedName name="Z_FAAD9AAC_1337_43AB_BF1F_CCF9DFCF5B78_.wvu.PrintArea" localSheetId="1" hidden="1">'1A - ADIT'!$B$1:$I$88</definedName>
    <definedName name="Z_FAAD9AAC_1337_43AB_BF1F_CCF9DFCF5B78_.wvu.PrintArea" localSheetId="3" hidden="1">'1C - ADIT Prior Year'!$B$1:$I$82</definedName>
    <definedName name="Z_FAAD9AAC_1337_43AB_BF1F_CCF9DFCF5B78_.wvu.PrintArea" localSheetId="7" hidden="1">'3 - Revenue Credits'!$A$2:$D$38</definedName>
    <definedName name="Z_FAAD9AAC_1337_43AB_BF1F_CCF9DFCF5B78_.wvu.PrintArea" localSheetId="0" hidden="1">'Appendix A'!$A$2:$H$305</definedName>
    <definedName name="zero">#REF!</definedName>
  </definedNames>
  <calcPr calcId="191029"/>
  <customWorkbookViews>
    <customWorkbookView name="S. Merchant - Personal View" guid="{3A38DF7A-C35E-4DD3-9893-26310A3EF836}" mergeInterval="0" personalView="1" maximized="1" windowWidth="1020" windowHeight="632" tabRatio="809" activeSheetId="2"/>
    <customWorkbookView name="DLCO - Personal View" guid="{F96D6087-3330-4A81-95EC-26BA83722A49}" mergeInterval="0" personalView="1" maximized="1" windowWidth="1020" windowHeight="579" tabRatio="809" activeSheetId="1"/>
    <customWorkbookView name="jbornak - Personal View" guid="{DA967730-B71F-4038-B1B7-9D4790729C5D}" mergeInterval="0" personalView="1" xWindow="14" yWindow="24" windowWidth="881" windowHeight="583" tabRatio="809" activeSheetId="1"/>
    <customWorkbookView name="smullin - Personal View" guid="{4C7C2344-134C-465A-ADEB-A5E96AAE2308}" mergeInterval="0" personalView="1" maximized="1" windowWidth="1020" windowHeight="603" tabRatio="809" activeSheetId="1"/>
    <customWorkbookView name="x317aks - Personal View" guid="{FAAD9AAC-1337-43AB-BF1F-CCF9DFCF5B78}" mergeInterval="0" personalView="1" maximized="1" windowWidth="1020" windowHeight="53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96" tabRatio="809" activeSheetId="11"/>
    <customWorkbookView name="Preferred Customer - Personal View" guid="{DC91DEF3-837B-4BB9-A81E-3B78C5914E6C}" mergeInterval="0" personalView="1" maximized="1" windowWidth="1004" windowHeight="571" tabRatio="809" activeSheetId="9"/>
    <customWorkbookView name="Dabydeen, Jeanette I. - Personal View" guid="{416404B7-8533-4A12-ABD0-58CFDEB49D80}" mergeInterval="0" personalView="1" maximized="1" windowWidth="1276" windowHeight="799" tabRatio="89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44" l="1"/>
  <c r="D67" i="43"/>
  <c r="E60" i="14"/>
  <c r="D25" i="5" l="1"/>
  <c r="C59" i="14" l="1"/>
  <c r="E65" i="40"/>
  <c r="E39" i="40"/>
  <c r="F35" i="41" l="1"/>
  <c r="S20" i="41"/>
  <c r="J14" i="50"/>
  <c r="J16" i="50" s="1"/>
  <c r="C44" i="43" l="1"/>
  <c r="C38" i="43"/>
  <c r="T230" i="7"/>
  <c r="T222" i="7"/>
  <c r="S67" i="7" l="1"/>
  <c r="S70" i="7"/>
  <c r="H28" i="44"/>
  <c r="F81" i="14" l="1"/>
  <c r="C83" i="14"/>
  <c r="D83" i="14" s="1"/>
  <c r="G92" i="43"/>
  <c r="F91" i="43"/>
  <c r="D89" i="43"/>
  <c r="C93" i="43"/>
  <c r="D93" i="43" s="1"/>
  <c r="D88" i="43"/>
  <c r="G87" i="43"/>
  <c r="E66" i="43"/>
  <c r="D44" i="43"/>
  <c r="D43" i="43"/>
  <c r="F41" i="43"/>
  <c r="G39" i="43"/>
  <c r="D38" i="43"/>
  <c r="G37" i="43"/>
  <c r="G35" i="43"/>
  <c r="D34" i="43"/>
  <c r="C37" i="14"/>
  <c r="C35" i="14"/>
  <c r="C26" i="14"/>
  <c r="C36" i="43"/>
  <c r="F36" i="43" s="1"/>
  <c r="C43" i="43"/>
  <c r="C42" i="43"/>
  <c r="D42" i="43" s="1"/>
  <c r="C33" i="43"/>
  <c r="G33" i="43" s="1"/>
  <c r="E82" i="14"/>
  <c r="D78" i="14"/>
  <c r="D77" i="14"/>
  <c r="F29" i="14"/>
  <c r="D39" i="14"/>
  <c r="S296" i="7" l="1"/>
  <c r="R296" i="7"/>
  <c r="Q296" i="7"/>
  <c r="P296" i="7"/>
  <c r="O296" i="7"/>
  <c r="N296" i="7"/>
  <c r="M296" i="7"/>
  <c r="L296" i="7"/>
  <c r="K296" i="7"/>
  <c r="J296" i="7"/>
  <c r="I296" i="7"/>
  <c r="S14" i="45"/>
  <c r="G20" i="45"/>
  <c r="H20" i="45"/>
  <c r="I20" i="45"/>
  <c r="J20" i="45"/>
  <c r="K20" i="45"/>
  <c r="L20" i="45"/>
  <c r="M20" i="45"/>
  <c r="N20" i="45"/>
  <c r="O20" i="45"/>
  <c r="P20" i="45"/>
  <c r="Q20" i="45"/>
  <c r="R20" i="45"/>
  <c r="F20" i="45"/>
  <c r="H296" i="7"/>
  <c r="G296" i="7"/>
  <c r="T49" i="7"/>
  <c r="T47" i="7"/>
  <c r="S12" i="45" l="1"/>
  <c r="S16" i="45"/>
  <c r="S18" i="45"/>
  <c r="S20" i="45" l="1"/>
  <c r="N9" i="51"/>
  <c r="T214" i="7" l="1"/>
  <c r="T215" i="7"/>
  <c r="T213" i="7"/>
  <c r="N35" i="51" l="1"/>
  <c r="N33" i="51"/>
  <c r="N31" i="51"/>
  <c r="N29" i="51"/>
  <c r="N27" i="51"/>
  <c r="N25" i="51"/>
  <c r="N23" i="51"/>
  <c r="N21" i="51"/>
  <c r="N19" i="51"/>
  <c r="N17" i="51"/>
  <c r="N15" i="51"/>
  <c r="N13" i="51"/>
  <c r="N11" i="51"/>
  <c r="D27" i="14" l="1"/>
  <c r="W36" i="40" l="1"/>
  <c r="U36" i="40"/>
  <c r="S36" i="40"/>
  <c r="Q36" i="40"/>
  <c r="O36" i="40"/>
  <c r="M36" i="40"/>
  <c r="I60" i="40"/>
  <c r="I59" i="40"/>
  <c r="I58" i="40"/>
  <c r="I57" i="40"/>
  <c r="I56" i="40"/>
  <c r="I51" i="40"/>
  <c r="I46" i="40"/>
  <c r="I34" i="40"/>
  <c r="I33" i="40"/>
  <c r="I32" i="40"/>
  <c r="I13" i="40"/>
  <c r="I14" i="40"/>
  <c r="I15" i="40"/>
  <c r="O15" i="40" s="1"/>
  <c r="I16" i="40"/>
  <c r="I17" i="40"/>
  <c r="I18" i="40"/>
  <c r="I19" i="40"/>
  <c r="I20" i="40"/>
  <c r="I21" i="40"/>
  <c r="I22" i="40"/>
  <c r="I12" i="40"/>
  <c r="I80" i="40"/>
  <c r="D60" i="40" s="1"/>
  <c r="E60" i="40" s="1"/>
  <c r="K62" i="40"/>
  <c r="G62" i="40"/>
  <c r="F62" i="40"/>
  <c r="C62" i="40"/>
  <c r="O61" i="40"/>
  <c r="M61" i="40"/>
  <c r="L61" i="40"/>
  <c r="K53" i="40"/>
  <c r="G53" i="40"/>
  <c r="F53" i="40"/>
  <c r="C53" i="40"/>
  <c r="O52" i="40"/>
  <c r="O53" i="40" s="1"/>
  <c r="M52" i="40"/>
  <c r="M53" i="40" s="1"/>
  <c r="L52" i="40"/>
  <c r="G48" i="40"/>
  <c r="F48" i="40"/>
  <c r="C48" i="40"/>
  <c r="L47" i="40"/>
  <c r="N47" i="40" s="1"/>
  <c r="P47" i="40" s="1"/>
  <c r="R47" i="40" s="1"/>
  <c r="T47" i="40" s="1"/>
  <c r="V47" i="40" s="1"/>
  <c r="X47" i="40" s="1"/>
  <c r="Z47" i="40" s="1"/>
  <c r="D47" i="40"/>
  <c r="E47" i="40" s="1"/>
  <c r="K36" i="40"/>
  <c r="G36" i="40"/>
  <c r="F36" i="40"/>
  <c r="C36" i="40"/>
  <c r="L35" i="40"/>
  <c r="N35" i="40" s="1"/>
  <c r="P35" i="40" s="1"/>
  <c r="W29" i="40"/>
  <c r="U29" i="40"/>
  <c r="S29" i="40"/>
  <c r="Q29" i="40"/>
  <c r="O29" i="40"/>
  <c r="M29" i="40"/>
  <c r="K29" i="40"/>
  <c r="F29" i="40"/>
  <c r="C29" i="40"/>
  <c r="X28" i="40"/>
  <c r="T28" i="40"/>
  <c r="V28" i="40" s="1"/>
  <c r="R28" i="40"/>
  <c r="P28" i="40"/>
  <c r="Y28" i="40" s="1"/>
  <c r="N28" i="40"/>
  <c r="L28" i="40"/>
  <c r="X27" i="40"/>
  <c r="T27" i="40"/>
  <c r="R27" i="40"/>
  <c r="P27" i="40"/>
  <c r="N27" i="40"/>
  <c r="K24" i="40"/>
  <c r="F24" i="40"/>
  <c r="C24" i="40"/>
  <c r="O23" i="40"/>
  <c r="M23" i="40"/>
  <c r="L23" i="40"/>
  <c r="O13" i="40"/>
  <c r="A13" i="40"/>
  <c r="A14" i="40" s="1"/>
  <c r="A15" i="40" s="1"/>
  <c r="A16" i="40" s="1"/>
  <c r="A17" i="40" s="1"/>
  <c r="A18" i="40" s="1"/>
  <c r="A19" i="40" s="1"/>
  <c r="A20" i="40" s="1"/>
  <c r="A21" i="40" s="1"/>
  <c r="A22" i="40" s="1"/>
  <c r="A23" i="40" s="1"/>
  <c r="A24" i="40" s="1"/>
  <c r="A27" i="40" s="1"/>
  <c r="A28" i="40" s="1"/>
  <c r="A29" i="40" s="1"/>
  <c r="A32" i="40" s="1"/>
  <c r="A33" i="40" s="1"/>
  <c r="A34" i="40" s="1"/>
  <c r="A35" i="40" s="1"/>
  <c r="A36" i="40" s="1"/>
  <c r="A38" i="40" s="1"/>
  <c r="A39" i="40" s="1"/>
  <c r="A40" i="40" s="1"/>
  <c r="A46" i="40" s="1"/>
  <c r="A47" i="40" s="1"/>
  <c r="A48" i="40" s="1"/>
  <c r="A51" i="40" s="1"/>
  <c r="A52" i="40" s="1"/>
  <c r="A53" i="40" s="1"/>
  <c r="A56" i="40" s="1"/>
  <c r="A57" i="40" s="1"/>
  <c r="A58" i="40" s="1"/>
  <c r="A59" i="40" s="1"/>
  <c r="A60" i="40" s="1"/>
  <c r="A61" i="40" s="1"/>
  <c r="A62" i="40" s="1"/>
  <c r="A64" i="40" s="1"/>
  <c r="A65" i="40" s="1"/>
  <c r="A66" i="40" s="1"/>
  <c r="A68" i="40" s="1"/>
  <c r="A70" i="40" s="1"/>
  <c r="D13" i="40" l="1"/>
  <c r="E13" i="40" s="1"/>
  <c r="D32" i="40"/>
  <c r="E32" i="40" s="1"/>
  <c r="D35" i="40"/>
  <c r="E35" i="40" s="1"/>
  <c r="D28" i="40"/>
  <c r="E28" i="40" s="1"/>
  <c r="G28" i="40" s="1"/>
  <c r="D14" i="40"/>
  <c r="E14" i="40" s="1"/>
  <c r="D17" i="40"/>
  <c r="E17" i="40" s="1"/>
  <c r="D58" i="40"/>
  <c r="E58" i="40" s="1"/>
  <c r="D21" i="40"/>
  <c r="E21" i="40" s="1"/>
  <c r="M58" i="40"/>
  <c r="N61" i="40"/>
  <c r="D20" i="40"/>
  <c r="E20" i="40" s="1"/>
  <c r="N29" i="40"/>
  <c r="X29" i="40"/>
  <c r="D61" i="40"/>
  <c r="E61" i="40" s="1"/>
  <c r="K64" i="40"/>
  <c r="P61" i="40"/>
  <c r="W61" i="40" s="1"/>
  <c r="D15" i="40"/>
  <c r="E15" i="40" s="1"/>
  <c r="D34" i="40"/>
  <c r="E34" i="40" s="1"/>
  <c r="L34" i="40" s="1"/>
  <c r="N34" i="40" s="1"/>
  <c r="P34" i="40" s="1"/>
  <c r="R34" i="40" s="1"/>
  <c r="T34" i="40" s="1"/>
  <c r="V34" i="40" s="1"/>
  <c r="X34" i="40" s="1"/>
  <c r="D51" i="40"/>
  <c r="E51" i="40" s="1"/>
  <c r="D57" i="40"/>
  <c r="E57" i="40" s="1"/>
  <c r="N23" i="40"/>
  <c r="P23" i="40" s="1"/>
  <c r="W23" i="40" s="1"/>
  <c r="R29" i="40"/>
  <c r="D18" i="40"/>
  <c r="E18" i="40" s="1"/>
  <c r="D22" i="40"/>
  <c r="E22" i="40" s="1"/>
  <c r="D27" i="40"/>
  <c r="D29" i="40" s="1"/>
  <c r="D33" i="40"/>
  <c r="E33" i="40" s="1"/>
  <c r="L33" i="40" s="1"/>
  <c r="N33" i="40" s="1"/>
  <c r="P33" i="40" s="1"/>
  <c r="R33" i="40" s="1"/>
  <c r="T33" i="40" s="1"/>
  <c r="V33" i="40" s="1"/>
  <c r="X33" i="40" s="1"/>
  <c r="D59" i="40"/>
  <c r="E59" i="40" s="1"/>
  <c r="O59" i="40" s="1"/>
  <c r="D12" i="40"/>
  <c r="E12" i="40" s="1"/>
  <c r="D16" i="40"/>
  <c r="E16" i="40" s="1"/>
  <c r="D19" i="40"/>
  <c r="E19" i="40" s="1"/>
  <c r="D23" i="40"/>
  <c r="E23" i="40" s="1"/>
  <c r="D46" i="40"/>
  <c r="E46" i="40" s="1"/>
  <c r="E48" i="40" s="1"/>
  <c r="D52" i="40"/>
  <c r="E52" i="40" s="1"/>
  <c r="D56" i="40"/>
  <c r="E56" i="40" s="1"/>
  <c r="L46" i="40"/>
  <c r="N46" i="40" s="1"/>
  <c r="P46" i="40" s="1"/>
  <c r="R46" i="40" s="1"/>
  <c r="T46" i="40" s="1"/>
  <c r="V46" i="40" s="1"/>
  <c r="X46" i="40" s="1"/>
  <c r="Z46" i="40" s="1"/>
  <c r="M18" i="40"/>
  <c r="M22" i="40"/>
  <c r="M16" i="40"/>
  <c r="P29" i="40"/>
  <c r="Y27" i="40"/>
  <c r="Z27" i="40" s="1"/>
  <c r="K38" i="40"/>
  <c r="N52" i="40"/>
  <c r="P52" i="40" s="1"/>
  <c r="Y52" i="40" s="1"/>
  <c r="Y53" i="40" s="1"/>
  <c r="O58" i="40"/>
  <c r="Y34" i="40"/>
  <c r="L19" i="40"/>
  <c r="O19" i="40"/>
  <c r="L20" i="40"/>
  <c r="O20" i="40"/>
  <c r="L21" i="40"/>
  <c r="O21" i="40"/>
  <c r="T29" i="40"/>
  <c r="V27" i="40"/>
  <c r="M57" i="40"/>
  <c r="L57" i="40"/>
  <c r="O57" i="40"/>
  <c r="L60" i="40"/>
  <c r="O60" i="40"/>
  <c r="M60" i="40"/>
  <c r="M13" i="40"/>
  <c r="L13" i="40"/>
  <c r="M15" i="40"/>
  <c r="L15" i="40"/>
  <c r="L16" i="40"/>
  <c r="N16" i="40" s="1"/>
  <c r="O16" i="40"/>
  <c r="M19" i="40"/>
  <c r="Y35" i="40"/>
  <c r="R35" i="40"/>
  <c r="T35" i="40" s="1"/>
  <c r="V35" i="40" s="1"/>
  <c r="X35" i="40" s="1"/>
  <c r="L17" i="40"/>
  <c r="O17" i="40"/>
  <c r="M20" i="40"/>
  <c r="M17" i="40"/>
  <c r="L18" i="40"/>
  <c r="O18" i="40"/>
  <c r="M21" i="40"/>
  <c r="L22" i="40"/>
  <c r="O22" i="40"/>
  <c r="U23" i="40"/>
  <c r="Z28" i="40"/>
  <c r="Y33" i="40"/>
  <c r="Z33" i="40" s="1"/>
  <c r="L59" i="40"/>
  <c r="G64" i="40"/>
  <c r="L58" i="40"/>
  <c r="M59" i="40"/>
  <c r="D36" i="40"/>
  <c r="Q61" i="40" l="1"/>
  <c r="R61" i="40" s="1"/>
  <c r="N57" i="40"/>
  <c r="N58" i="40"/>
  <c r="E36" i="40"/>
  <c r="E53" i="40"/>
  <c r="D53" i="40"/>
  <c r="E62" i="40"/>
  <c r="S61" i="40"/>
  <c r="D62" i="40"/>
  <c r="U61" i="40"/>
  <c r="Y61" i="40"/>
  <c r="Q52" i="40"/>
  <c r="Q53" i="40" s="1"/>
  <c r="N18" i="40"/>
  <c r="P18" i="40" s="1"/>
  <c r="S18" i="40" s="1"/>
  <c r="E27" i="40"/>
  <c r="E29" i="40" s="1"/>
  <c r="Y23" i="40"/>
  <c r="S23" i="40"/>
  <c r="N13" i="40"/>
  <c r="P13" i="40" s="1"/>
  <c r="U13" i="40" s="1"/>
  <c r="D24" i="40"/>
  <c r="Q23" i="40"/>
  <c r="R23" i="40" s="1"/>
  <c r="N22" i="40"/>
  <c r="P22" i="40" s="1"/>
  <c r="U22" i="40" s="1"/>
  <c r="Z35" i="40"/>
  <c r="Y29" i="40"/>
  <c r="D48" i="40"/>
  <c r="G66" i="40"/>
  <c r="N60" i="40"/>
  <c r="P60" i="40" s="1"/>
  <c r="U60" i="40" s="1"/>
  <c r="Z34" i="40"/>
  <c r="N21" i="40"/>
  <c r="P21" i="40" s="1"/>
  <c r="Y21" i="40" s="1"/>
  <c r="T61" i="40"/>
  <c r="P58" i="40"/>
  <c r="U58" i="40" s="1"/>
  <c r="U52" i="40"/>
  <c r="U53" i="40" s="1"/>
  <c r="S52" i="40"/>
  <c r="S53" i="40" s="1"/>
  <c r="W52" i="40"/>
  <c r="W53" i="40" s="1"/>
  <c r="Z29" i="40"/>
  <c r="I36" i="40"/>
  <c r="L32" i="40"/>
  <c r="P16" i="40"/>
  <c r="M14" i="40"/>
  <c r="L14" i="40"/>
  <c r="O14" i="40"/>
  <c r="N19" i="40"/>
  <c r="P19" i="40" s="1"/>
  <c r="I53" i="40"/>
  <c r="L51" i="40"/>
  <c r="G24" i="40"/>
  <c r="E24" i="40"/>
  <c r="N59" i="40"/>
  <c r="P59" i="40" s="1"/>
  <c r="L56" i="40"/>
  <c r="I62" i="40"/>
  <c r="O56" i="40"/>
  <c r="O62" i="40" s="1"/>
  <c r="O64" i="40" s="1"/>
  <c r="M56" i="40"/>
  <c r="M62" i="40" s="1"/>
  <c r="M64" i="40" s="1"/>
  <c r="N15" i="40"/>
  <c r="P15" i="40" s="1"/>
  <c r="P57" i="40"/>
  <c r="N17" i="40"/>
  <c r="P17" i="40" s="1"/>
  <c r="N20" i="40"/>
  <c r="P20" i="40" s="1"/>
  <c r="W18" i="40" l="1"/>
  <c r="Y18" i="40"/>
  <c r="Q18" i="40"/>
  <c r="R18" i="40" s="1"/>
  <c r="E64" i="40"/>
  <c r="E66" i="40" s="1"/>
  <c r="U18" i="40"/>
  <c r="S58" i="40"/>
  <c r="G27" i="40"/>
  <c r="G29" i="40" s="1"/>
  <c r="G38" i="40" s="1"/>
  <c r="S60" i="40"/>
  <c r="W13" i="40"/>
  <c r="R52" i="40"/>
  <c r="T52" i="40" s="1"/>
  <c r="V52" i="40" s="1"/>
  <c r="X52" i="40" s="1"/>
  <c r="Z52" i="40" s="1"/>
  <c r="T23" i="40"/>
  <c r="V23" i="40" s="1"/>
  <c r="X23" i="40" s="1"/>
  <c r="Z23" i="40" s="1"/>
  <c r="W21" i="40"/>
  <c r="V61" i="40"/>
  <c r="X61" i="40" s="1"/>
  <c r="Z61" i="40" s="1"/>
  <c r="W60" i="40"/>
  <c r="I64" i="40"/>
  <c r="I66" i="40" s="1"/>
  <c r="Q13" i="40"/>
  <c r="R13" i="40" s="1"/>
  <c r="T13" i="40" s="1"/>
  <c r="V13" i="40" s="1"/>
  <c r="X13" i="40" s="1"/>
  <c r="Z13" i="40" s="1"/>
  <c r="U21" i="40"/>
  <c r="Y13" i="40"/>
  <c r="Y60" i="40"/>
  <c r="S13" i="40"/>
  <c r="N32" i="40"/>
  <c r="L36" i="40"/>
  <c r="S21" i="40"/>
  <c r="Y58" i="40"/>
  <c r="Q21" i="40"/>
  <c r="R21" i="40" s="1"/>
  <c r="I27" i="40"/>
  <c r="I29" i="40" s="1"/>
  <c r="W58" i="40"/>
  <c r="Q60" i="40"/>
  <c r="R60" i="40" s="1"/>
  <c r="Q58" i="40"/>
  <c r="R58" i="40" s="1"/>
  <c r="T58" i="40" s="1"/>
  <c r="V58" i="40" s="1"/>
  <c r="N14" i="40"/>
  <c r="P14" i="40" s="1"/>
  <c r="Q14" i="40" s="1"/>
  <c r="R14" i="40" s="1"/>
  <c r="S22" i="40"/>
  <c r="W22" i="40"/>
  <c r="Q22" i="40"/>
  <c r="R22" i="40" s="1"/>
  <c r="E38" i="40"/>
  <c r="E40" i="40" s="1"/>
  <c r="Y22" i="40"/>
  <c r="T18" i="40"/>
  <c r="V18" i="40" s="1"/>
  <c r="X18" i="40" s="1"/>
  <c r="Z18" i="40" s="1"/>
  <c r="N51" i="40"/>
  <c r="L53" i="40"/>
  <c r="W59" i="40"/>
  <c r="S59" i="40"/>
  <c r="Y59" i="40"/>
  <c r="U59" i="40"/>
  <c r="Q59" i="40"/>
  <c r="R59" i="40" s="1"/>
  <c r="I24" i="40"/>
  <c r="M12" i="40"/>
  <c r="M24" i="40" s="1"/>
  <c r="L12" i="40"/>
  <c r="O12" i="40"/>
  <c r="O24" i="40" s="1"/>
  <c r="Q17" i="40"/>
  <c r="R17" i="40" s="1"/>
  <c r="U17" i="40"/>
  <c r="Y17" i="40"/>
  <c r="S17" i="40"/>
  <c r="W17" i="40"/>
  <c r="Y57" i="40"/>
  <c r="U57" i="40"/>
  <c r="Q57" i="40"/>
  <c r="R57" i="40" s="1"/>
  <c r="W57" i="40"/>
  <c r="S57" i="40"/>
  <c r="Q19" i="40"/>
  <c r="R19" i="40" s="1"/>
  <c r="U19" i="40"/>
  <c r="Y19" i="40"/>
  <c r="S19" i="40"/>
  <c r="W19" i="40"/>
  <c r="Q16" i="40"/>
  <c r="R16" i="40" s="1"/>
  <c r="U16" i="40"/>
  <c r="Y16" i="40"/>
  <c r="S16" i="40"/>
  <c r="W16" i="40"/>
  <c r="Q20" i="40"/>
  <c r="Y20" i="40"/>
  <c r="S20" i="40"/>
  <c r="U20" i="40"/>
  <c r="R20" i="40"/>
  <c r="W20" i="40"/>
  <c r="U15" i="40"/>
  <c r="Q15" i="40"/>
  <c r="R15" i="40" s="1"/>
  <c r="Y15" i="40"/>
  <c r="W15" i="40"/>
  <c r="S15" i="40"/>
  <c r="N56" i="40"/>
  <c r="L62" i="40"/>
  <c r="T57" i="40" l="1"/>
  <c r="T17" i="40"/>
  <c r="V17" i="40" s="1"/>
  <c r="X17" i="40" s="1"/>
  <c r="Z17" i="40" s="1"/>
  <c r="E68" i="40"/>
  <c r="T60" i="40"/>
  <c r="V60" i="40" s="1"/>
  <c r="X60" i="40" s="1"/>
  <c r="Z60" i="40" s="1"/>
  <c r="T21" i="40"/>
  <c r="V21" i="40" s="1"/>
  <c r="X21" i="40" s="1"/>
  <c r="Z21" i="40" s="1"/>
  <c r="X58" i="40"/>
  <c r="Z58" i="40" s="1"/>
  <c r="T22" i="40"/>
  <c r="V22" i="40" s="1"/>
  <c r="X22" i="40" s="1"/>
  <c r="Z22" i="40" s="1"/>
  <c r="U14" i="40"/>
  <c r="T16" i="40"/>
  <c r="V16" i="40" s="1"/>
  <c r="X16" i="40" s="1"/>
  <c r="Z16" i="40" s="1"/>
  <c r="L27" i="40"/>
  <c r="L29" i="40" s="1"/>
  <c r="W14" i="40"/>
  <c r="P32" i="40"/>
  <c r="N36" i="40"/>
  <c r="S14" i="40"/>
  <c r="T14" i="40" s="1"/>
  <c r="Y14" i="40"/>
  <c r="V57" i="40"/>
  <c r="X57" i="40" s="1"/>
  <c r="Z57" i="40" s="1"/>
  <c r="T19" i="40"/>
  <c r="V19" i="40" s="1"/>
  <c r="X19" i="40" s="1"/>
  <c r="Z19" i="40" s="1"/>
  <c r="T15" i="40"/>
  <c r="V15" i="40" s="1"/>
  <c r="T59" i="40"/>
  <c r="V59" i="40" s="1"/>
  <c r="X59" i="40" s="1"/>
  <c r="Z59" i="40" s="1"/>
  <c r="O38" i="40"/>
  <c r="O70" i="40" s="1"/>
  <c r="P56" i="40"/>
  <c r="N62" i="40"/>
  <c r="T20" i="40"/>
  <c r="V20" i="40" s="1"/>
  <c r="X20" i="40" s="1"/>
  <c r="Z20" i="40" s="1"/>
  <c r="N12" i="40"/>
  <c r="L24" i="40"/>
  <c r="G40" i="40"/>
  <c r="G68" i="40" s="1"/>
  <c r="X15" i="40"/>
  <c r="Z15" i="40" s="1"/>
  <c r="M38" i="40"/>
  <c r="M70" i="40" s="1"/>
  <c r="R203" i="7" s="1"/>
  <c r="H234" i="1" s="1"/>
  <c r="L64" i="40"/>
  <c r="I38" i="40"/>
  <c r="I40" i="40" s="1"/>
  <c r="I68" i="40" s="1"/>
  <c r="N53" i="40"/>
  <c r="P51" i="40"/>
  <c r="V14" i="40" l="1"/>
  <c r="X14" i="40" s="1"/>
  <c r="Z14" i="40" s="1"/>
  <c r="P36" i="40"/>
  <c r="R32" i="40"/>
  <c r="Y32" i="40"/>
  <c r="Y36" i="40" s="1"/>
  <c r="L66" i="40"/>
  <c r="N64" i="40"/>
  <c r="L38" i="40"/>
  <c r="Q203" i="7" s="1"/>
  <c r="W56" i="40"/>
  <c r="W62" i="40" s="1"/>
  <c r="W64" i="40" s="1"/>
  <c r="S56" i="40"/>
  <c r="S62" i="40" s="1"/>
  <c r="S64" i="40" s="1"/>
  <c r="U56" i="40"/>
  <c r="U62" i="40" s="1"/>
  <c r="U64" i="40" s="1"/>
  <c r="P62" i="40"/>
  <c r="Y56" i="40"/>
  <c r="Y62" i="40" s="1"/>
  <c r="Y64" i="40" s="1"/>
  <c r="Q56" i="40"/>
  <c r="Q62" i="40" s="1"/>
  <c r="Q64" i="40" s="1"/>
  <c r="P53" i="40"/>
  <c r="R51" i="40"/>
  <c r="N24" i="40"/>
  <c r="P12" i="40"/>
  <c r="N37" i="51"/>
  <c r="P64" i="40" l="1"/>
  <c r="P66" i="40" s="1"/>
  <c r="R56" i="40"/>
  <c r="R62" i="40" s="1"/>
  <c r="T32" i="40"/>
  <c r="R36" i="40"/>
  <c r="L40" i="40"/>
  <c r="L68" i="40" s="1"/>
  <c r="N66" i="40"/>
  <c r="T56" i="40"/>
  <c r="R53" i="40"/>
  <c r="T51" i="40"/>
  <c r="Y12" i="40"/>
  <c r="Y24" i="40" s="1"/>
  <c r="U12" i="40"/>
  <c r="U24" i="40" s="1"/>
  <c r="Q12" i="40"/>
  <c r="Q24" i="40" s="1"/>
  <c r="P24" i="40"/>
  <c r="W12" i="40"/>
  <c r="W24" i="40" s="1"/>
  <c r="S12" i="40"/>
  <c r="S24" i="40" s="1"/>
  <c r="N38" i="40"/>
  <c r="R64" i="40" l="1"/>
  <c r="R66" i="40" s="1"/>
  <c r="N40" i="40"/>
  <c r="N68" i="40" s="1"/>
  <c r="S203" i="7"/>
  <c r="V32" i="40"/>
  <c r="T36" i="40"/>
  <c r="Q38" i="40"/>
  <c r="Q70" i="40" s="1"/>
  <c r="V51" i="40"/>
  <c r="T53" i="40"/>
  <c r="U38" i="40"/>
  <c r="U70" i="40" s="1"/>
  <c r="S38" i="40"/>
  <c r="S70" i="40" s="1"/>
  <c r="Y38" i="40"/>
  <c r="Y70" i="40" s="1"/>
  <c r="W38" i="40"/>
  <c r="W70" i="40" s="1"/>
  <c r="P38" i="40"/>
  <c r="P40" i="40" s="1"/>
  <c r="P68" i="40" s="1"/>
  <c r="R12" i="40"/>
  <c r="V56" i="40"/>
  <c r="T62" i="40"/>
  <c r="X32" i="40" l="1"/>
  <c r="V36" i="40"/>
  <c r="T64" i="40"/>
  <c r="X56" i="40"/>
  <c r="V62" i="40"/>
  <c r="R24" i="40"/>
  <c r="T12" i="40"/>
  <c r="V53" i="40"/>
  <c r="X51" i="40"/>
  <c r="X36" i="40" l="1"/>
  <c r="Z32" i="40"/>
  <c r="Z36" i="40" s="1"/>
  <c r="T66" i="40"/>
  <c r="V64" i="40"/>
  <c r="T24" i="40"/>
  <c r="V12" i="40"/>
  <c r="R38" i="40"/>
  <c r="R40" i="40" s="1"/>
  <c r="R68" i="40" s="1"/>
  <c r="X53" i="40"/>
  <c r="Z51" i="40"/>
  <c r="Z53" i="40" s="1"/>
  <c r="Z56" i="40"/>
  <c r="Z62" i="40" s="1"/>
  <c r="X62" i="40"/>
  <c r="D79" i="14"/>
  <c r="G87" i="2"/>
  <c r="F83" i="2"/>
  <c r="S143" i="7" s="1"/>
  <c r="G82" i="2"/>
  <c r="D88" i="2"/>
  <c r="D84" i="2"/>
  <c r="V66" i="40" l="1"/>
  <c r="Z64" i="40"/>
  <c r="V24" i="40"/>
  <c r="X12" i="40"/>
  <c r="X64" i="40"/>
  <c r="T38" i="40"/>
  <c r="A11" i="51"/>
  <c r="A13" i="51" s="1"/>
  <c r="A15" i="51" s="1"/>
  <c r="A17" i="51" s="1"/>
  <c r="A19" i="51" s="1"/>
  <c r="A21" i="51" s="1"/>
  <c r="A23" i="51" s="1"/>
  <c r="A25" i="51" s="1"/>
  <c r="A27" i="51" s="1"/>
  <c r="A29" i="51" s="1"/>
  <c r="A31" i="51" s="1"/>
  <c r="A33" i="51" s="1"/>
  <c r="A35" i="51" s="1"/>
  <c r="A37" i="51" s="1"/>
  <c r="L37" i="51"/>
  <c r="J37" i="51"/>
  <c r="H37" i="51"/>
  <c r="F37" i="51"/>
  <c r="S84" i="7" l="1"/>
  <c r="S85" i="7"/>
  <c r="H127" i="1"/>
  <c r="T40" i="40"/>
  <c r="T68" i="40" s="1"/>
  <c r="X66" i="40"/>
  <c r="Z66" i="40"/>
  <c r="Z12" i="40"/>
  <c r="Z24" i="40" s="1"/>
  <c r="X24" i="40"/>
  <c r="V29" i="40"/>
  <c r="V38" i="40" s="1"/>
  <c r="V40" i="40" s="1"/>
  <c r="V68" i="40" s="1"/>
  <c r="D32" i="2"/>
  <c r="X38" i="40" l="1"/>
  <c r="X40" i="40" s="1"/>
  <c r="X68" i="40" s="1"/>
  <c r="Z38" i="40"/>
  <c r="Z40" i="40" s="1"/>
  <c r="Z68" i="40" s="1"/>
  <c r="T229" i="7"/>
  <c r="T231" i="7" s="1"/>
  <c r="H106" i="1" s="1"/>
  <c r="E85" i="1"/>
  <c r="E84" i="1"/>
  <c r="E81" i="1"/>
  <c r="W20" i="45"/>
  <c r="U18" i="45"/>
  <c r="U16" i="45"/>
  <c r="U12" i="45"/>
  <c r="T212" i="7"/>
  <c r="H94" i="1" s="1"/>
  <c r="T61" i="7"/>
  <c r="H84" i="1" s="1"/>
  <c r="T60" i="7"/>
  <c r="H85" i="1" s="1"/>
  <c r="T59" i="7"/>
  <c r="H81" i="1" s="1"/>
  <c r="T48" i="7"/>
  <c r="T50" i="7"/>
  <c r="T51" i="7" l="1"/>
  <c r="H76" i="1"/>
  <c r="U20" i="45"/>
  <c r="F94" i="43"/>
  <c r="D94" i="43"/>
  <c r="D86" i="2"/>
  <c r="F88" i="2"/>
  <c r="E84" i="2"/>
  <c r="C84" i="14"/>
  <c r="H128" i="1"/>
  <c r="H99" i="1"/>
  <c r="E179" i="1"/>
  <c r="T138" i="7"/>
  <c r="H179" i="1" s="1"/>
  <c r="E124" i="1"/>
  <c r="E99" i="1"/>
  <c r="E253" i="1"/>
  <c r="E33" i="1"/>
  <c r="D40" i="43" l="1"/>
  <c r="D33" i="14"/>
  <c r="C14" i="42"/>
  <c r="C15" i="42"/>
  <c r="C16" i="42"/>
  <c r="C17" i="42"/>
  <c r="C18" i="42"/>
  <c r="C19" i="42"/>
  <c r="C20" i="42"/>
  <c r="C21" i="42"/>
  <c r="C22" i="42"/>
  <c r="C23" i="42"/>
  <c r="C13" i="42"/>
  <c r="D30" i="5"/>
  <c r="D18" i="5"/>
  <c r="D26" i="5"/>
  <c r="A14" i="5"/>
  <c r="D38" i="2"/>
  <c r="E106" i="1"/>
  <c r="E108" i="1"/>
  <c r="E110" i="1"/>
  <c r="E104" i="1"/>
  <c r="E98" i="1"/>
  <c r="E94" i="1"/>
  <c r="E76" i="1"/>
  <c r="E26" i="1"/>
  <c r="E23" i="1"/>
  <c r="D31" i="5" l="1"/>
  <c r="H219" i="1"/>
  <c r="H220" i="1"/>
  <c r="T298" i="7" l="1"/>
  <c r="G16" i="47" s="1"/>
  <c r="M297" i="7"/>
  <c r="N297" i="7" s="1"/>
  <c r="O297" i="7" s="1"/>
  <c r="P297" i="7" s="1"/>
  <c r="Q297" i="7" s="1"/>
  <c r="R297" i="7" s="1"/>
  <c r="S297" i="7" s="1"/>
  <c r="G44" i="2" l="1"/>
  <c r="U117" i="7" l="1"/>
  <c r="T168" i="7" l="1"/>
  <c r="E234" i="1"/>
  <c r="E153" i="1"/>
  <c r="E152" i="1"/>
  <c r="E150" i="1"/>
  <c r="E149" i="1"/>
  <c r="E135" i="1"/>
  <c r="E134" i="1"/>
  <c r="E128" i="1"/>
  <c r="E127" i="1"/>
  <c r="E126" i="1"/>
  <c r="G94" i="43"/>
  <c r="E94" i="43"/>
  <c r="C94" i="43"/>
  <c r="E84" i="14"/>
  <c r="G39" i="14"/>
  <c r="E39" i="14"/>
  <c r="E44" i="2"/>
  <c r="F278" i="1"/>
  <c r="H174" i="1"/>
  <c r="T40" i="7" l="1"/>
  <c r="T17" i="7" l="1"/>
  <c r="A14" i="45" l="1"/>
  <c r="A16" i="45" s="1"/>
  <c r="A18" i="45" s="1"/>
  <c r="A20" i="45" s="1"/>
  <c r="A22" i="45" s="1"/>
  <c r="D35" i="14" l="1"/>
  <c r="D40" i="2"/>
  <c r="D31" i="14" l="1"/>
  <c r="D36" i="2"/>
  <c r="L35" i="41" l="1"/>
  <c r="S10" i="41"/>
  <c r="G35" i="41"/>
  <c r="H35" i="41"/>
  <c r="I35" i="41"/>
  <c r="J35" i="41"/>
  <c r="K35" i="41"/>
  <c r="M35" i="41"/>
  <c r="N35" i="41"/>
  <c r="O35" i="41"/>
  <c r="P35" i="41"/>
  <c r="Q35" i="41"/>
  <c r="R35" i="41"/>
  <c r="S21" i="41" l="1"/>
  <c r="S22" i="41"/>
  <c r="S23" i="41"/>
  <c r="S24" i="41"/>
  <c r="S25" i="41"/>
  <c r="S26" i="41"/>
  <c r="S27" i="41"/>
  <c r="S28" i="41"/>
  <c r="S29" i="41"/>
  <c r="S30" i="41"/>
  <c r="S31" i="41"/>
  <c r="S32" i="41"/>
  <c r="S33" i="41"/>
  <c r="D85" i="2" l="1"/>
  <c r="D42" i="2"/>
  <c r="D41" i="2"/>
  <c r="F39" i="2"/>
  <c r="G37" i="2"/>
  <c r="G35" i="2"/>
  <c r="F34" i="2"/>
  <c r="G33" i="2"/>
  <c r="G31" i="2"/>
  <c r="D80" i="14"/>
  <c r="R143" i="7"/>
  <c r="T143" i="7" s="1"/>
  <c r="D37" i="14"/>
  <c r="D36" i="14"/>
  <c r="F34" i="14"/>
  <c r="G32" i="14"/>
  <c r="G30" i="14"/>
  <c r="G28" i="14"/>
  <c r="G26" i="14"/>
  <c r="F84" i="14" l="1"/>
  <c r="D84" i="14"/>
  <c r="G84" i="14"/>
  <c r="E25" i="4"/>
  <c r="E24" i="4"/>
  <c r="H149" i="1" l="1"/>
  <c r="E12" i="4" l="1"/>
  <c r="A10" i="50" l="1"/>
  <c r="J20" i="50"/>
  <c r="A12" i="50" l="1"/>
  <c r="A14" i="50" s="1"/>
  <c r="A16" i="50" s="1"/>
  <c r="F175" i="7"/>
  <c r="E282" i="1"/>
  <c r="L16" i="50" l="1"/>
  <c r="A18" i="50"/>
  <c r="A20" i="50" s="1"/>
  <c r="L20" i="50" l="1"/>
  <c r="F77" i="1" l="1"/>
  <c r="H135" i="1" l="1"/>
  <c r="T25" i="7" l="1"/>
  <c r="T23" i="7"/>
  <c r="H46" i="1" s="1"/>
  <c r="E71" i="1" l="1"/>
  <c r="A37" i="49" l="1"/>
  <c r="A38" i="49" s="1"/>
  <c r="A39" i="49" s="1"/>
  <c r="A40" i="49" s="1"/>
  <c r="A41" i="49" s="1"/>
  <c r="A49" i="49" s="1"/>
  <c r="A50" i="49" s="1"/>
  <c r="A51" i="49" s="1"/>
  <c r="A52" i="49" s="1"/>
  <c r="A53" i="49" s="1"/>
  <c r="A54" i="49" s="1"/>
  <c r="A55" i="49" s="1"/>
  <c r="A56" i="49" s="1"/>
  <c r="A57" i="49" s="1"/>
  <c r="A58" i="49" s="1"/>
  <c r="A59" i="49" s="1"/>
  <c r="A60" i="49" s="1"/>
  <c r="A61" i="49" s="1"/>
  <c r="A62" i="49" s="1"/>
  <c r="A63" i="49" s="1"/>
  <c r="A64" i="49" s="1"/>
  <c r="A65" i="49" s="1"/>
  <c r="A66" i="49" s="1"/>
  <c r="A67" i="49" s="1"/>
  <c r="A68" i="49" s="1"/>
  <c r="A69" i="49" s="1"/>
  <c r="A70" i="49" s="1"/>
  <c r="A71" i="49" s="1"/>
  <c r="A72" i="49" s="1"/>
  <c r="A74" i="49" s="1"/>
  <c r="A37" i="8"/>
  <c r="A38" i="8" s="1"/>
  <c r="A39" i="8" s="1"/>
  <c r="A40" i="8" s="1"/>
  <c r="A41"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4" i="8" s="1"/>
  <c r="F19" i="1" l="1"/>
  <c r="C21" i="47" l="1"/>
  <c r="K192" i="7"/>
  <c r="K190" i="7"/>
  <c r="F74" i="49"/>
  <c r="J39" i="49" s="1"/>
  <c r="E74" i="49"/>
  <c r="I39" i="49" s="1"/>
  <c r="I38" i="49"/>
  <c r="J38" i="49" s="1"/>
  <c r="B3" i="49"/>
  <c r="B2" i="49"/>
  <c r="E281" i="1"/>
  <c r="J40" i="49" l="1"/>
  <c r="I40" i="49"/>
  <c r="F19" i="48"/>
  <c r="F23" i="48" s="1"/>
  <c r="A14" i="48"/>
  <c r="K40" i="49" l="1"/>
  <c r="I41" i="49" s="1"/>
  <c r="A16" i="48"/>
  <c r="F27" i="48"/>
  <c r="F29" i="48" s="1"/>
  <c r="H279" i="1" s="1"/>
  <c r="F21" i="48"/>
  <c r="A17" i="48" l="1"/>
  <c r="A19" i="48" s="1"/>
  <c r="Y16" i="47"/>
  <c r="W16" i="47"/>
  <c r="U16" i="47"/>
  <c r="S16" i="47"/>
  <c r="Q16" i="47"/>
  <c r="O16" i="47"/>
  <c r="M16" i="47"/>
  <c r="K16" i="47"/>
  <c r="I16" i="47"/>
  <c r="C19" i="48" l="1"/>
  <c r="A21" i="48"/>
  <c r="A23" i="48" s="1"/>
  <c r="A25" i="48" s="1"/>
  <c r="A26" i="48" s="1"/>
  <c r="A27" i="48" s="1"/>
  <c r="A29" i="48" s="1"/>
  <c r="F279" i="1" s="1"/>
  <c r="C23" i="48"/>
  <c r="C21" i="48"/>
  <c r="B340" i="7" l="1"/>
  <c r="B335" i="7"/>
  <c r="B330" i="7"/>
  <c r="B325" i="7"/>
  <c r="B320" i="7"/>
  <c r="B315" i="7"/>
  <c r="T312" i="7"/>
  <c r="M11" i="47" s="1"/>
  <c r="B310" i="7"/>
  <c r="B305" i="7"/>
  <c r="B300" i="7"/>
  <c r="T342" i="7"/>
  <c r="Y11" i="47" s="1"/>
  <c r="T341" i="7"/>
  <c r="Y10" i="47" s="1"/>
  <c r="T337" i="7"/>
  <c r="W11" i="47" s="1"/>
  <c r="T336" i="7"/>
  <c r="W10" i="47" s="1"/>
  <c r="T332" i="7"/>
  <c r="U11" i="47" s="1"/>
  <c r="T331" i="7"/>
  <c r="U10" i="47" s="1"/>
  <c r="T327" i="7"/>
  <c r="S11" i="47" s="1"/>
  <c r="T326" i="7"/>
  <c r="S10" i="47" s="1"/>
  <c r="T322" i="7"/>
  <c r="Q11" i="47" s="1"/>
  <c r="T321" i="7"/>
  <c r="Q10" i="47" s="1"/>
  <c r="T317" i="7"/>
  <c r="O11" i="47" s="1"/>
  <c r="T316" i="7"/>
  <c r="O10" i="47" s="1"/>
  <c r="T311" i="7"/>
  <c r="M10" i="47" s="1"/>
  <c r="T307" i="7"/>
  <c r="K11" i="47" s="1"/>
  <c r="T306" i="7"/>
  <c r="K10" i="47" s="1"/>
  <c r="T302" i="7"/>
  <c r="I11" i="47" s="1"/>
  <c r="T301" i="7"/>
  <c r="I10" i="47" s="1"/>
  <c r="T297" i="7"/>
  <c r="G11" i="47" s="1"/>
  <c r="T296" i="7"/>
  <c r="G10" i="47" s="1"/>
  <c r="A11" i="47"/>
  <c r="C12" i="47" s="1"/>
  <c r="A12" i="47" l="1"/>
  <c r="I65" i="43"/>
  <c r="I62" i="2" s="1"/>
  <c r="B287" i="7"/>
  <c r="B282" i="7"/>
  <c r="B277" i="7"/>
  <c r="B272" i="7"/>
  <c r="B267" i="7"/>
  <c r="B262" i="7"/>
  <c r="B257" i="7"/>
  <c r="B252" i="7"/>
  <c r="B247" i="7"/>
  <c r="B242" i="7"/>
  <c r="T290" i="7"/>
  <c r="Y13" i="46" s="1"/>
  <c r="T285" i="7"/>
  <c r="W13" i="46" s="1"/>
  <c r="T280" i="7"/>
  <c r="U13" i="46" s="1"/>
  <c r="T275" i="7"/>
  <c r="S13" i="46" s="1"/>
  <c r="T270" i="7"/>
  <c r="Q13" i="46" s="1"/>
  <c r="T265" i="7"/>
  <c r="O13" i="46" s="1"/>
  <c r="T260" i="7"/>
  <c r="M13" i="46" s="1"/>
  <c r="T255" i="7"/>
  <c r="K13" i="46" s="1"/>
  <c r="T250" i="7"/>
  <c r="I13" i="46" s="1"/>
  <c r="T245" i="7"/>
  <c r="G13" i="46" s="1"/>
  <c r="E280" i="1"/>
  <c r="A11" i="46"/>
  <c r="J2" i="46"/>
  <c r="K2" i="47" s="1"/>
  <c r="J1" i="46"/>
  <c r="K1" i="47" s="1"/>
  <c r="T289" i="7"/>
  <c r="T288" i="7"/>
  <c r="T284" i="7"/>
  <c r="T283" i="7"/>
  <c r="T279" i="7"/>
  <c r="T278" i="7"/>
  <c r="T274" i="7"/>
  <c r="T273" i="7"/>
  <c r="T269" i="7"/>
  <c r="T268" i="7"/>
  <c r="T264" i="7"/>
  <c r="T263" i="7"/>
  <c r="T259" i="7"/>
  <c r="T258" i="7"/>
  <c r="T254" i="7"/>
  <c r="T253" i="7"/>
  <c r="T249" i="7"/>
  <c r="T248" i="7"/>
  <c r="T244" i="7"/>
  <c r="T243" i="7"/>
  <c r="A12" i="46" l="1"/>
  <c r="C12" i="46"/>
  <c r="A14" i="47"/>
  <c r="A15" i="47" s="1"/>
  <c r="A13" i="46"/>
  <c r="A14" i="46" s="1"/>
  <c r="O10" i="46"/>
  <c r="M12" i="47"/>
  <c r="Y12" i="47"/>
  <c r="G12" i="47"/>
  <c r="O12" i="47"/>
  <c r="W12" i="47"/>
  <c r="U12" i="47"/>
  <c r="I10" i="46"/>
  <c r="Q10" i="46"/>
  <c r="Y10" i="46"/>
  <c r="Q12" i="47"/>
  <c r="K12" i="47"/>
  <c r="S12" i="47"/>
  <c r="S10" i="46"/>
  <c r="G11" i="46"/>
  <c r="U11" i="46"/>
  <c r="Q11" i="46"/>
  <c r="W10" i="46"/>
  <c r="Y11" i="46"/>
  <c r="K11" i="46"/>
  <c r="M10" i="46"/>
  <c r="O11" i="46"/>
  <c r="O12" i="46" s="1"/>
  <c r="O14" i="46" s="1"/>
  <c r="S11" i="46"/>
  <c r="M11" i="46"/>
  <c r="G10" i="46"/>
  <c r="I12" i="47"/>
  <c r="U10" i="46"/>
  <c r="W11" i="46"/>
  <c r="I11" i="46"/>
  <c r="K10" i="46"/>
  <c r="A15" i="46" l="1"/>
  <c r="A16" i="46" s="1"/>
  <c r="A17" i="46" s="1"/>
  <c r="A18" i="46" s="1"/>
  <c r="F280" i="1" s="1"/>
  <c r="C14" i="46"/>
  <c r="A16" i="47"/>
  <c r="A17" i="47" s="1"/>
  <c r="A19" i="47" s="1"/>
  <c r="C15" i="47"/>
  <c r="K12" i="46"/>
  <c r="K14" i="46" s="1"/>
  <c r="W12" i="46"/>
  <c r="W14" i="46" s="1"/>
  <c r="I12" i="46"/>
  <c r="I14" i="46" s="1"/>
  <c r="M12" i="46"/>
  <c r="M14" i="46" s="1"/>
  <c r="S12" i="46"/>
  <c r="S14" i="46" s="1"/>
  <c r="Y12" i="46"/>
  <c r="Y14" i="46" s="1"/>
  <c r="Q12" i="46"/>
  <c r="Q14" i="46" s="1"/>
  <c r="G12" i="46"/>
  <c r="G14" i="46" s="1"/>
  <c r="U12" i="46"/>
  <c r="U14" i="46" s="1"/>
  <c r="I16" i="43"/>
  <c r="I13" i="14"/>
  <c r="I13" i="2"/>
  <c r="E65" i="1"/>
  <c r="E62" i="1"/>
  <c r="C18" i="46" l="1"/>
  <c r="C19" i="47"/>
  <c r="A21" i="47"/>
  <c r="A23" i="47" s="1"/>
  <c r="J194" i="7"/>
  <c r="J195" i="7" s="1"/>
  <c r="A26" i="47" l="1"/>
  <c r="A28" i="47" s="1"/>
  <c r="F281" i="1" s="1"/>
  <c r="C23" i="47"/>
  <c r="G46" i="43"/>
  <c r="E46" i="43"/>
  <c r="C28" i="47" l="1"/>
  <c r="E76" i="14"/>
  <c r="F76" i="14"/>
  <c r="G76" i="14"/>
  <c r="B2" i="38" l="1"/>
  <c r="E185" i="1" l="1"/>
  <c r="E186" i="1"/>
  <c r="T144" i="7"/>
  <c r="H185" i="1" s="1"/>
  <c r="T145" i="7"/>
  <c r="H186" i="1" s="1"/>
  <c r="A13" i="4" l="1"/>
  <c r="G89" i="2"/>
  <c r="G67" i="43"/>
  <c r="F13" i="43" s="1"/>
  <c r="F67" i="43"/>
  <c r="E13" i="43" s="1"/>
  <c r="C67" i="43"/>
  <c r="B59" i="43"/>
  <c r="B58" i="43"/>
  <c r="B57" i="43"/>
  <c r="C28" i="44"/>
  <c r="F27" i="44"/>
  <c r="I27" i="44" s="1"/>
  <c r="F26" i="44"/>
  <c r="I26" i="44" s="1"/>
  <c r="D26" i="44"/>
  <c r="D25" i="44" s="1"/>
  <c r="D24" i="44" s="1"/>
  <c r="D23" i="44" s="1"/>
  <c r="D22" i="44" s="1"/>
  <c r="D21" i="44" s="1"/>
  <c r="D20" i="44" s="1"/>
  <c r="D19" i="44" s="1"/>
  <c r="D18" i="44" s="1"/>
  <c r="D17" i="44" s="1"/>
  <c r="D16" i="44" s="1"/>
  <c r="F25" i="44"/>
  <c r="I25" i="44" s="1"/>
  <c r="F24" i="44"/>
  <c r="I24" i="44" s="1"/>
  <c r="F23" i="44"/>
  <c r="I23" i="44" s="1"/>
  <c r="F22" i="44"/>
  <c r="I22" i="44" s="1"/>
  <c r="F21" i="44"/>
  <c r="I21" i="44" s="1"/>
  <c r="F20" i="44"/>
  <c r="I20" i="44" s="1"/>
  <c r="F19" i="44"/>
  <c r="I19" i="44" s="1"/>
  <c r="F18" i="44"/>
  <c r="I18" i="44" s="1"/>
  <c r="F17" i="44"/>
  <c r="I17" i="44" s="1"/>
  <c r="F16" i="44"/>
  <c r="I16" i="44" s="1"/>
  <c r="E16" i="44"/>
  <c r="E17" i="44" s="1"/>
  <c r="E18" i="44" s="1"/>
  <c r="E19" i="44" s="1"/>
  <c r="E20" i="44" s="1"/>
  <c r="E21" i="44" s="1"/>
  <c r="E22" i="44" s="1"/>
  <c r="E23" i="44" s="1"/>
  <c r="E24" i="44" s="1"/>
  <c r="E25" i="44" s="1"/>
  <c r="E26" i="44" s="1"/>
  <c r="E27" i="44" s="1"/>
  <c r="Q15" i="44"/>
  <c r="L15" i="44"/>
  <c r="E67" i="43" l="1"/>
  <c r="D13" i="43" s="1"/>
  <c r="J16" i="44"/>
  <c r="J17" i="44" s="1"/>
  <c r="J18" i="44" s="1"/>
  <c r="J19" i="44" s="1"/>
  <c r="J20" i="44" s="1"/>
  <c r="J21" i="44" s="1"/>
  <c r="J22" i="44" s="1"/>
  <c r="J23" i="44" s="1"/>
  <c r="J24" i="44" s="1"/>
  <c r="J25" i="44" s="1"/>
  <c r="J26" i="44" s="1"/>
  <c r="J27" i="44" s="1"/>
  <c r="I28" i="44"/>
  <c r="O24" i="42" l="1"/>
  <c r="K24" i="42"/>
  <c r="D24" i="42"/>
  <c r="G23" i="42"/>
  <c r="G22" i="42"/>
  <c r="E22" i="42"/>
  <c r="E21" i="42" s="1"/>
  <c r="E20" i="42" s="1"/>
  <c r="E19" i="42" s="1"/>
  <c r="E18" i="42" s="1"/>
  <c r="E17" i="42" s="1"/>
  <c r="E16" i="42" s="1"/>
  <c r="E15" i="42" s="1"/>
  <c r="E14" i="42" s="1"/>
  <c r="E13" i="42" s="1"/>
  <c r="E12" i="42" s="1"/>
  <c r="G21" i="42"/>
  <c r="G20" i="42"/>
  <c r="G19" i="42"/>
  <c r="G18" i="42"/>
  <c r="G17" i="42"/>
  <c r="G16" i="42"/>
  <c r="G15" i="42"/>
  <c r="G14" i="42"/>
  <c r="G13" i="42"/>
  <c r="G12" i="42"/>
  <c r="F12" i="42"/>
  <c r="F13" i="42" s="1"/>
  <c r="F14" i="42" s="1"/>
  <c r="F15" i="42" s="1"/>
  <c r="F16" i="42" s="1"/>
  <c r="F17" i="42" s="1"/>
  <c r="F18" i="42" s="1"/>
  <c r="F19" i="42" s="1"/>
  <c r="F20" i="42" s="1"/>
  <c r="F21" i="42" s="1"/>
  <c r="F22" i="42" s="1"/>
  <c r="F23" i="42" s="1"/>
  <c r="G11" i="42"/>
  <c r="J11" i="42" s="1"/>
  <c r="J23" i="42" l="1"/>
  <c r="J13" i="42"/>
  <c r="J14" i="42"/>
  <c r="J21" i="42"/>
  <c r="J17" i="42"/>
  <c r="J18" i="42"/>
  <c r="J22" i="42"/>
  <c r="J15" i="42"/>
  <c r="J19" i="42"/>
  <c r="J16" i="42"/>
  <c r="J20" i="42"/>
  <c r="A12" i="42" l="1"/>
  <c r="A13" i="42" s="1"/>
  <c r="A14" i="42" s="1"/>
  <c r="A15" i="42" s="1"/>
  <c r="A16" i="42" s="1"/>
  <c r="A17" i="42" s="1"/>
  <c r="A18" i="42" s="1"/>
  <c r="A19" i="42" s="1"/>
  <c r="A20" i="42" s="1"/>
  <c r="A21" i="42" s="1"/>
  <c r="A22" i="42" s="1"/>
  <c r="A23" i="42" s="1"/>
  <c r="A24" i="42" s="1"/>
  <c r="I18" i="2" s="1"/>
  <c r="G13" i="4"/>
  <c r="G14" i="4"/>
  <c r="A14" i="4"/>
  <c r="A15" i="4" l="1"/>
  <c r="A19" i="4" s="1"/>
  <c r="A20" i="4" s="1"/>
  <c r="A24" i="4" s="1"/>
  <c r="G12" i="4"/>
  <c r="E15" i="4"/>
  <c r="I46" i="43"/>
  <c r="I39" i="14"/>
  <c r="F221" i="1"/>
  <c r="G15" i="4" l="1"/>
  <c r="D36" i="5" l="1"/>
  <c r="D37" i="5" s="1"/>
  <c r="D33" i="5" s="1"/>
  <c r="T140" i="7" l="1"/>
  <c r="H181" i="1" s="1"/>
  <c r="T141" i="7"/>
  <c r="H182" i="1" s="1"/>
  <c r="E181" i="1"/>
  <c r="E182" i="1"/>
  <c r="E278" i="1" l="1"/>
  <c r="F74" i="8"/>
  <c r="J39" i="8" s="1"/>
  <c r="G96" i="43" l="1"/>
  <c r="E96" i="43"/>
  <c r="D96" i="43"/>
  <c r="C96" i="43"/>
  <c r="G95" i="43"/>
  <c r="G97" i="43" s="1"/>
  <c r="E95" i="43"/>
  <c r="D95" i="43"/>
  <c r="C95" i="43"/>
  <c r="F95" i="43"/>
  <c r="F97" i="43" s="1"/>
  <c r="F96" i="43"/>
  <c r="D46" i="43"/>
  <c r="E45" i="43"/>
  <c r="E47" i="43" s="1"/>
  <c r="C45" i="43"/>
  <c r="D45" i="43"/>
  <c r="F46" i="43"/>
  <c r="G45" i="43"/>
  <c r="G47" i="43" s="1"/>
  <c r="A12" i="43"/>
  <c r="A10" i="14"/>
  <c r="G86" i="14"/>
  <c r="E86" i="14"/>
  <c r="D86" i="14"/>
  <c r="C86" i="14"/>
  <c r="G85" i="14"/>
  <c r="G87" i="14" s="1"/>
  <c r="E85" i="14"/>
  <c r="D85" i="14"/>
  <c r="C85" i="14"/>
  <c r="F85" i="14"/>
  <c r="F86" i="14"/>
  <c r="E38" i="14"/>
  <c r="E40" i="14" s="1"/>
  <c r="C38" i="14"/>
  <c r="D38" i="14"/>
  <c r="F39" i="14"/>
  <c r="C39" i="14" s="1"/>
  <c r="A10" i="2"/>
  <c r="C46" i="43" l="1"/>
  <c r="C47" i="43"/>
  <c r="D47" i="43"/>
  <c r="A13" i="43"/>
  <c r="A14" i="43" s="1"/>
  <c r="A15" i="43" s="1"/>
  <c r="C97" i="43"/>
  <c r="A15" i="5"/>
  <c r="A16" i="5" s="1"/>
  <c r="A17" i="5" s="1"/>
  <c r="D40" i="14"/>
  <c r="A11" i="14"/>
  <c r="A12" i="14" s="1"/>
  <c r="I12" i="14"/>
  <c r="E97" i="43"/>
  <c r="F45" i="43"/>
  <c r="F47" i="43" s="1"/>
  <c r="A11" i="2"/>
  <c r="A12" i="2" s="1"/>
  <c r="I12" i="2"/>
  <c r="D97" i="43"/>
  <c r="E87" i="14"/>
  <c r="F87" i="14"/>
  <c r="C87" i="14"/>
  <c r="F38" i="14"/>
  <c r="F40" i="14" s="1"/>
  <c r="C40" i="14"/>
  <c r="G38" i="14"/>
  <c r="G40" i="14" s="1"/>
  <c r="A18" i="5" l="1"/>
  <c r="A21" i="5" s="1"/>
  <c r="A22" i="5" s="1"/>
  <c r="I15" i="43"/>
  <c r="A13" i="14"/>
  <c r="A14" i="14" s="1"/>
  <c r="A16" i="43"/>
  <c r="A13" i="2"/>
  <c r="A14" i="2" s="1"/>
  <c r="B79" i="43"/>
  <c r="B78" i="43"/>
  <c r="B80" i="43"/>
  <c r="I3" i="44"/>
  <c r="I2" i="44"/>
  <c r="D12" i="43"/>
  <c r="B1" i="2"/>
  <c r="A15" i="14" l="1"/>
  <c r="A26" i="14" s="1"/>
  <c r="A27" i="14" s="1"/>
  <c r="A28" i="14" s="1"/>
  <c r="A29" i="14" s="1"/>
  <c r="A30" i="14" s="1"/>
  <c r="A31" i="14" s="1"/>
  <c r="A32" i="14" s="1"/>
  <c r="A33" i="14" s="1"/>
  <c r="A34" i="14" s="1"/>
  <c r="A35" i="14" s="1"/>
  <c r="A36" i="14" s="1"/>
  <c r="A37" i="14" s="1"/>
  <c r="A38" i="14" s="1"/>
  <c r="A39" i="14" s="1"/>
  <c r="A40" i="14" s="1"/>
  <c r="I15" i="14"/>
  <c r="I15" i="2"/>
  <c r="A15" i="2"/>
  <c r="A17" i="43"/>
  <c r="A16" i="2"/>
  <c r="A17" i="2" s="1"/>
  <c r="A16" i="44"/>
  <c r="A17" i="44" s="1"/>
  <c r="A18" i="44" s="1"/>
  <c r="A19" i="44" s="1"/>
  <c r="A20" i="44" s="1"/>
  <c r="A21" i="44" s="1"/>
  <c r="A22" i="44" s="1"/>
  <c r="A23" i="44" s="1"/>
  <c r="A24" i="44" s="1"/>
  <c r="A25" i="44" s="1"/>
  <c r="A26" i="44" s="1"/>
  <c r="A27" i="44" s="1"/>
  <c r="F14" i="43"/>
  <c r="D14" i="43"/>
  <c r="D15" i="43" s="1"/>
  <c r="F12" i="43"/>
  <c r="E12" i="43"/>
  <c r="A59" i="14" l="1"/>
  <c r="A60" i="14" s="1"/>
  <c r="A61" i="14" s="1"/>
  <c r="I9" i="14"/>
  <c r="A18" i="43"/>
  <c r="A19" i="43" s="1"/>
  <c r="A18" i="2"/>
  <c r="A19" i="2" s="1"/>
  <c r="F62" i="1" s="1"/>
  <c r="I19" i="2"/>
  <c r="I17" i="2"/>
  <c r="I16" i="2"/>
  <c r="I18" i="43"/>
  <c r="F15" i="43"/>
  <c r="D18" i="43"/>
  <c r="A28" i="44"/>
  <c r="A34" i="44" s="1"/>
  <c r="A35" i="44" s="1"/>
  <c r="A36" i="44" s="1"/>
  <c r="A37" i="44" s="1"/>
  <c r="A38" i="44" s="1"/>
  <c r="A39" i="44" s="1"/>
  <c r="A40" i="44" s="1"/>
  <c r="A41" i="44" s="1"/>
  <c r="A42" i="44" s="1"/>
  <c r="A43" i="44" s="1"/>
  <c r="A44" i="44" s="1"/>
  <c r="A45" i="44" s="1"/>
  <c r="I21" i="43"/>
  <c r="A77" i="14"/>
  <c r="A78" i="14" s="1"/>
  <c r="A79" i="14" s="1"/>
  <c r="A80" i="14" s="1"/>
  <c r="A81" i="14" s="1"/>
  <c r="A82" i="14" s="1"/>
  <c r="A83" i="14" s="1"/>
  <c r="A84" i="14" s="1"/>
  <c r="A85" i="14" s="1"/>
  <c r="A86" i="14" s="1"/>
  <c r="A87" i="14" s="1"/>
  <c r="I11" i="14" s="1"/>
  <c r="I10" i="14"/>
  <c r="E14" i="43"/>
  <c r="E15" i="43" s="1"/>
  <c r="A20" i="43" l="1"/>
  <c r="I20" i="43"/>
  <c r="I19" i="43"/>
  <c r="A31" i="2"/>
  <c r="A32" i="2" s="1"/>
  <c r="A33" i="2" s="1"/>
  <c r="A34" i="2" s="1"/>
  <c r="A35" i="2" s="1"/>
  <c r="A36" i="2" s="1"/>
  <c r="A37" i="2" s="1"/>
  <c r="A38" i="2" s="1"/>
  <c r="A39" i="2" s="1"/>
  <c r="A40" i="2" s="1"/>
  <c r="A41" i="2" s="1"/>
  <c r="A42" i="2" s="1"/>
  <c r="A43" i="2" s="1"/>
  <c r="A44" i="2" s="1"/>
  <c r="A45" i="2" s="1"/>
  <c r="A21" i="43" l="1"/>
  <c r="A22" i="43" s="1"/>
  <c r="A33" i="43" s="1"/>
  <c r="A34" i="43" s="1"/>
  <c r="A35" i="43" s="1"/>
  <c r="A36" i="43" s="1"/>
  <c r="A37" i="43" s="1"/>
  <c r="A38" i="43" s="1"/>
  <c r="A39" i="43" s="1"/>
  <c r="A40" i="43" s="1"/>
  <c r="A41" i="43" s="1"/>
  <c r="A42" i="43" s="1"/>
  <c r="A43" i="43" s="1"/>
  <c r="A44" i="43" s="1"/>
  <c r="A45" i="43" s="1"/>
  <c r="A46" i="43" s="1"/>
  <c r="A47" i="43" s="1"/>
  <c r="A62" i="2"/>
  <c r="I9" i="2"/>
  <c r="A65" i="43" l="1"/>
  <c r="A66" i="43" s="1"/>
  <c r="A67" i="43" s="1"/>
  <c r="I12" i="43"/>
  <c r="A63" i="2"/>
  <c r="A64" i="2" s="1"/>
  <c r="I10" i="2" s="1"/>
  <c r="A82" i="2"/>
  <c r="A83" i="2" s="1"/>
  <c r="A84" i="2" s="1"/>
  <c r="A85" i="2" s="1"/>
  <c r="A86" i="2" s="1"/>
  <c r="A87" i="2" s="1"/>
  <c r="A88" i="2" s="1"/>
  <c r="A89" i="2" s="1"/>
  <c r="A90" i="2" s="1"/>
  <c r="A91" i="2" s="1"/>
  <c r="A92" i="2" s="1"/>
  <c r="I11" i="2" s="1"/>
  <c r="I13" i="43" l="1"/>
  <c r="A87" i="43"/>
  <c r="A88" i="43" s="1"/>
  <c r="A89" i="43" s="1"/>
  <c r="A90" i="43" s="1"/>
  <c r="A91" i="43" s="1"/>
  <c r="A92" i="43" s="1"/>
  <c r="A93" i="43" s="1"/>
  <c r="A94" i="43" s="1"/>
  <c r="A95" i="43" s="1"/>
  <c r="A96" i="43" s="1"/>
  <c r="A97" i="43" s="1"/>
  <c r="I14" i="43" s="1"/>
  <c r="B53" i="14"/>
  <c r="E91" i="2"/>
  <c r="G91" i="2"/>
  <c r="D91" i="2"/>
  <c r="C91" i="2"/>
  <c r="F101" i="1" l="1"/>
  <c r="F82" i="1"/>
  <c r="H108" i="1"/>
  <c r="H98" i="1"/>
  <c r="H104" i="1"/>
  <c r="H100" i="1" l="1"/>
  <c r="E74" i="8" l="1"/>
  <c r="I39" i="8" s="1"/>
  <c r="T203" i="7" l="1"/>
  <c r="H65" i="1" s="1"/>
  <c r="S16" i="41"/>
  <c r="S17" i="41"/>
  <c r="S19" i="41"/>
  <c r="S18" i="41"/>
  <c r="S15" i="41"/>
  <c r="S14" i="41"/>
  <c r="S13" i="41"/>
  <c r="S12" i="41"/>
  <c r="S11" i="41"/>
  <c r="A11" i="41"/>
  <c r="A12" i="41" s="1"/>
  <c r="A13" i="41" s="1"/>
  <c r="A14" i="41" s="1"/>
  <c r="A15" i="41" s="1"/>
  <c r="A16" i="41" s="1"/>
  <c r="A17" i="41" s="1"/>
  <c r="A18" i="41" s="1"/>
  <c r="S35" i="41" l="1"/>
  <c r="H68" i="1"/>
  <c r="A19" i="41"/>
  <c r="A20" i="41" s="1"/>
  <c r="A21" i="41" s="1"/>
  <c r="A22" i="41" s="1"/>
  <c r="F2" i="41"/>
  <c r="F1" i="41"/>
  <c r="B3" i="8"/>
  <c r="B2" i="8"/>
  <c r="I3" i="40"/>
  <c r="B2" i="51" s="1"/>
  <c r="I2" i="40"/>
  <c r="B1" i="51" s="1"/>
  <c r="A2" i="7"/>
  <c r="B2" i="14"/>
  <c r="B52" i="14" s="1"/>
  <c r="B71" i="14" s="1"/>
  <c r="B55" i="2"/>
  <c r="B76" i="2" s="1"/>
  <c r="A23" i="41" l="1"/>
  <c r="A24" i="41" s="1"/>
  <c r="A25" i="41" s="1"/>
  <c r="A26" i="41" s="1"/>
  <c r="A27" i="41" s="1"/>
  <c r="A28" i="41" s="1"/>
  <c r="A29" i="41" s="1"/>
  <c r="A30" i="41" s="1"/>
  <c r="A31" i="41" s="1"/>
  <c r="A32" i="41" s="1"/>
  <c r="A33" i="41" s="1"/>
  <c r="A35" i="41" s="1"/>
  <c r="F68" i="1" s="1"/>
  <c r="B1" i="45"/>
  <c r="A1" i="48"/>
  <c r="B2" i="45"/>
  <c r="A2" i="48"/>
  <c r="B89" i="14"/>
  <c r="B72" i="14"/>
  <c r="G61" i="14"/>
  <c r="F10" i="14" s="1"/>
  <c r="F61" i="14"/>
  <c r="E10" i="14" s="1"/>
  <c r="D61" i="14"/>
  <c r="D58" i="14"/>
  <c r="D76" i="14" s="1"/>
  <c r="D87" i="14" s="1"/>
  <c r="D9" i="14"/>
  <c r="B95" i="2"/>
  <c r="B100" i="43" s="1"/>
  <c r="D90" i="2"/>
  <c r="E90" i="2"/>
  <c r="G90" i="2"/>
  <c r="G92" i="2" s="1"/>
  <c r="F11" i="2" s="1"/>
  <c r="C90" i="2"/>
  <c r="F90" i="2"/>
  <c r="F91" i="2"/>
  <c r="D64" i="2"/>
  <c r="D61" i="2"/>
  <c r="D81" i="2" s="1"/>
  <c r="F11" i="14" l="1"/>
  <c r="D11" i="14"/>
  <c r="E11" i="14"/>
  <c r="F9" i="14"/>
  <c r="E9" i="14"/>
  <c r="E12" i="14" l="1"/>
  <c r="F12" i="14"/>
  <c r="B1" i="14" l="1"/>
  <c r="A10" i="7"/>
  <c r="A11" i="7" s="1"/>
  <c r="F20" i="1" s="1"/>
  <c r="E174" i="1"/>
  <c r="E50" i="1"/>
  <c r="E48" i="1"/>
  <c r="E46" i="1"/>
  <c r="E20" i="1"/>
  <c r="H228" i="1"/>
  <c r="H212" i="1"/>
  <c r="A12" i="7" l="1"/>
  <c r="F49" i="1" s="1"/>
  <c r="B70" i="14"/>
  <c r="B51" i="14"/>
  <c r="H169" i="1"/>
  <c r="H134" i="1"/>
  <c r="A13" i="7" l="1"/>
  <c r="A14" i="7" s="1"/>
  <c r="A17" i="7" s="1"/>
  <c r="F33" i="1" s="1"/>
  <c r="H10" i="1"/>
  <c r="H12" i="1"/>
  <c r="H13" i="1"/>
  <c r="A18" i="7" l="1"/>
  <c r="F35" i="1" s="1"/>
  <c r="T20" i="7"/>
  <c r="T19" i="7"/>
  <c r="H36" i="1" s="1"/>
  <c r="H33" i="1"/>
  <c r="T10" i="7"/>
  <c r="T12" i="7"/>
  <c r="T13" i="7"/>
  <c r="T14" i="7"/>
  <c r="H272" i="1" l="1"/>
  <c r="A19" i="7"/>
  <c r="F36" i="1" s="1"/>
  <c r="H49" i="1"/>
  <c r="E43" i="2"/>
  <c r="E45" i="2" s="1"/>
  <c r="D9" i="2" s="1"/>
  <c r="D44" i="2"/>
  <c r="A20" i="7" l="1"/>
  <c r="F37" i="1" s="1"/>
  <c r="E89" i="2"/>
  <c r="E92" i="2" s="1"/>
  <c r="A23" i="7" l="1"/>
  <c r="F46" i="1" s="1"/>
  <c r="D11" i="2"/>
  <c r="A24" i="7" l="1"/>
  <c r="F48" i="1" s="1"/>
  <c r="G43" i="2"/>
  <c r="A25" i="7" l="1"/>
  <c r="F50" i="1" s="1"/>
  <c r="H286" i="1"/>
  <c r="H257" i="1"/>
  <c r="H124" i="1"/>
  <c r="H37" i="1"/>
  <c r="H50" i="1"/>
  <c r="H153" i="1"/>
  <c r="H150" i="1"/>
  <c r="F89" i="2"/>
  <c r="F92" i="2" s="1"/>
  <c r="E11" i="2" s="1"/>
  <c r="H194" i="7"/>
  <c r="T139" i="7"/>
  <c r="H180" i="1" s="1"/>
  <c r="T142" i="7"/>
  <c r="H183" i="1" s="1"/>
  <c r="H190" i="1"/>
  <c r="T135" i="7"/>
  <c r="H173" i="1" s="1"/>
  <c r="T136" i="7"/>
  <c r="H175" i="1" s="1"/>
  <c r="H211" i="1"/>
  <c r="H282" i="1"/>
  <c r="D89" i="2"/>
  <c r="D92" i="2" s="1"/>
  <c r="B77" i="2"/>
  <c r="B75" i="2"/>
  <c r="B56" i="2"/>
  <c r="B54" i="2"/>
  <c r="E20" i="4"/>
  <c r="E41" i="4"/>
  <c r="I194" i="7"/>
  <c r="I195" i="7" s="1"/>
  <c r="E191" i="7"/>
  <c r="C175" i="7"/>
  <c r="C168" i="7"/>
  <c r="C153" i="7"/>
  <c r="A3" i="5"/>
  <c r="A2" i="5"/>
  <c r="A25" i="4"/>
  <c r="A26" i="4" s="1"/>
  <c r="A27" i="4" s="1"/>
  <c r="A3" i="4"/>
  <c r="A2" i="4"/>
  <c r="E286" i="1"/>
  <c r="C271" i="1"/>
  <c r="E257" i="1"/>
  <c r="C256" i="1"/>
  <c r="E200" i="1"/>
  <c r="E184" i="1"/>
  <c r="E183" i="1"/>
  <c r="E180" i="1"/>
  <c r="E178" i="1"/>
  <c r="E175" i="1"/>
  <c r="E173" i="1"/>
  <c r="E172" i="1"/>
  <c r="F155" i="1"/>
  <c r="F130" i="1"/>
  <c r="E73" i="1"/>
  <c r="E68" i="1"/>
  <c r="F52" i="1"/>
  <c r="C52" i="1"/>
  <c r="E49" i="1"/>
  <c r="F39" i="1"/>
  <c r="E37" i="1"/>
  <c r="E36" i="1"/>
  <c r="E35" i="1"/>
  <c r="E19" i="1"/>
  <c r="A19" i="1"/>
  <c r="A12" i="1"/>
  <c r="H214" i="1" l="1"/>
  <c r="H199" i="1"/>
  <c r="H216" i="1"/>
  <c r="H229" i="1"/>
  <c r="A29" i="4"/>
  <c r="F162" i="1" s="1"/>
  <c r="H195" i="7"/>
  <c r="K195" i="7" s="1"/>
  <c r="H71" i="1" s="1"/>
  <c r="K194" i="7"/>
  <c r="I17" i="46"/>
  <c r="A20" i="1"/>
  <c r="A21" i="1" s="1"/>
  <c r="A13" i="1"/>
  <c r="F14" i="1" s="1"/>
  <c r="H129" i="1"/>
  <c r="H73" i="1"/>
  <c r="H138" i="1"/>
  <c r="H136" i="1"/>
  <c r="H256" i="1"/>
  <c r="H14" i="1"/>
  <c r="C89" i="2"/>
  <c r="C92" i="2" s="1"/>
  <c r="H230" i="1" l="1"/>
  <c r="H16" i="1"/>
  <c r="A34" i="4"/>
  <c r="A35" i="4" s="1"/>
  <c r="A36" i="4" s="1"/>
  <c r="A37" i="4" s="1"/>
  <c r="A38" i="4" s="1"/>
  <c r="A39" i="4" s="1"/>
  <c r="A40" i="4" s="1"/>
  <c r="A41" i="4" s="1"/>
  <c r="A43" i="4" s="1"/>
  <c r="A45" i="4" s="1"/>
  <c r="A47" i="4" s="1"/>
  <c r="M17" i="46"/>
  <c r="Y17" i="46"/>
  <c r="Q17" i="46"/>
  <c r="H235" i="1"/>
  <c r="U17" i="46"/>
  <c r="G17" i="46"/>
  <c r="H224" i="1"/>
  <c r="S17" i="46"/>
  <c r="W17" i="46"/>
  <c r="K17" i="46"/>
  <c r="O17" i="46"/>
  <c r="H231" i="1"/>
  <c r="F21" i="1"/>
  <c r="H184" i="1"/>
  <c r="A14" i="1"/>
  <c r="F16" i="1" s="1"/>
  <c r="H258" i="1"/>
  <c r="H215" i="1"/>
  <c r="V10" i="45" l="1"/>
  <c r="V14" i="45" s="1"/>
  <c r="V20" i="45" s="1"/>
  <c r="W22" i="45" s="1"/>
  <c r="T237" i="7" s="1"/>
  <c r="H110" i="1" s="1"/>
  <c r="H236" i="1"/>
  <c r="P22" i="42"/>
  <c r="Q22" i="42" s="1"/>
  <c r="R22" i="42" s="1"/>
  <c r="P17" i="42"/>
  <c r="Q17" i="42" s="1"/>
  <c r="R17" i="42" s="1"/>
  <c r="P14" i="42"/>
  <c r="Q14" i="42" s="1"/>
  <c r="R14" i="42" s="1"/>
  <c r="P11" i="42"/>
  <c r="Q11" i="42" s="1"/>
  <c r="R11" i="42" s="1"/>
  <c r="P21" i="42"/>
  <c r="Q21" i="42" s="1"/>
  <c r="R21" i="42" s="1"/>
  <c r="P18" i="42"/>
  <c r="Q18" i="42" s="1"/>
  <c r="R18" i="42" s="1"/>
  <c r="P12" i="42"/>
  <c r="Q12" i="42" s="1"/>
  <c r="R12" i="42" s="1"/>
  <c r="P20" i="42"/>
  <c r="Q20" i="42" s="1"/>
  <c r="R20" i="42" s="1"/>
  <c r="P15" i="42"/>
  <c r="Q15" i="42" s="1"/>
  <c r="R15" i="42" s="1"/>
  <c r="P19" i="42"/>
  <c r="Q19" i="42" s="1"/>
  <c r="R19" i="42" s="1"/>
  <c r="P16" i="42"/>
  <c r="Q16" i="42" s="1"/>
  <c r="R16" i="42" s="1"/>
  <c r="P13" i="42"/>
  <c r="Q13" i="42" s="1"/>
  <c r="R13" i="42" s="1"/>
  <c r="P23" i="42"/>
  <c r="Q23" i="42" s="1"/>
  <c r="R23" i="42" s="1"/>
  <c r="H77" i="1"/>
  <c r="H221" i="1"/>
  <c r="J44" i="44"/>
  <c r="L44" i="44" s="1"/>
  <c r="J42" i="44"/>
  <c r="L42" i="44" s="1"/>
  <c r="J40" i="44"/>
  <c r="L40" i="44" s="1"/>
  <c r="J38" i="44"/>
  <c r="L38" i="44" s="1"/>
  <c r="J36" i="44"/>
  <c r="L36" i="44" s="1"/>
  <c r="J34" i="44"/>
  <c r="L34" i="44" s="1"/>
  <c r="J43" i="44"/>
  <c r="L43" i="44" s="1"/>
  <c r="J37" i="44"/>
  <c r="L37" i="44" s="1"/>
  <c r="J45" i="44"/>
  <c r="L45" i="44" s="1"/>
  <c r="J41" i="44"/>
  <c r="L41" i="44" s="1"/>
  <c r="J39" i="44"/>
  <c r="L39" i="44" s="1"/>
  <c r="J35" i="44"/>
  <c r="L35" i="44" s="1"/>
  <c r="F13" i="2"/>
  <c r="F16" i="43"/>
  <c r="F18" i="43" s="1"/>
  <c r="G64" i="2"/>
  <c r="F10" i="2" s="1"/>
  <c r="F13" i="14"/>
  <c r="F15" i="14" s="1"/>
  <c r="H101" i="1"/>
  <c r="H155" i="1"/>
  <c r="H52" i="1"/>
  <c r="H82" i="1"/>
  <c r="F27" i="4"/>
  <c r="H39" i="1"/>
  <c r="H130" i="1"/>
  <c r="H259" i="1"/>
  <c r="H102" i="1" l="1"/>
  <c r="H222" i="1"/>
  <c r="H78" i="1"/>
  <c r="R24" i="42"/>
  <c r="F18" i="2" s="1"/>
  <c r="F19" i="43"/>
  <c r="F20" i="43" s="1"/>
  <c r="F16" i="2"/>
  <c r="H131" i="1"/>
  <c r="H83" i="1"/>
  <c r="H86" i="1" l="1"/>
  <c r="H223" i="1"/>
  <c r="A23" i="1"/>
  <c r="F24" i="1" s="1"/>
  <c r="H225" i="1" l="1"/>
  <c r="A24" i="1"/>
  <c r="A26" i="1" s="1"/>
  <c r="F64" i="2" l="1"/>
  <c r="E10" i="2" s="1"/>
  <c r="A27" i="1"/>
  <c r="A33" i="1" s="1"/>
  <c r="F27" i="1"/>
  <c r="I17" i="43" l="1"/>
  <c r="I14" i="2"/>
  <c r="I14" i="14"/>
  <c r="F95" i="1"/>
  <c r="F139" i="1"/>
  <c r="A35" i="1" l="1"/>
  <c r="A36" i="1" s="1"/>
  <c r="A37" i="1" s="1"/>
  <c r="F38" i="1" s="1"/>
  <c r="F256" i="1" l="1"/>
  <c r="A38" i="1"/>
  <c r="A39" i="1" s="1"/>
  <c r="F40" i="1" s="1"/>
  <c r="A40" i="1" l="1"/>
  <c r="A42" i="1" l="1"/>
  <c r="F42" i="1"/>
  <c r="F23" i="1" l="1"/>
  <c r="A46" i="1"/>
  <c r="A48" i="1" l="1"/>
  <c r="A49" i="1" l="1"/>
  <c r="A50" i="1" s="1"/>
  <c r="A51" i="1" s="1"/>
  <c r="A31" i="7"/>
  <c r="F12" i="1" l="1"/>
  <c r="A32" i="7"/>
  <c r="F51" i="1"/>
  <c r="F13" i="1" l="1"/>
  <c r="A33" i="7"/>
  <c r="A40" i="7" s="1"/>
  <c r="A52" i="1"/>
  <c r="A53" i="1" s="1"/>
  <c r="F10" i="1" l="1"/>
  <c r="A55" i="1"/>
  <c r="F55" i="1"/>
  <c r="F53" i="1"/>
  <c r="F73" i="1" l="1"/>
  <c r="A57" i="1"/>
  <c r="F57" i="1"/>
  <c r="A47" i="7" l="1"/>
  <c r="A48" i="7" s="1"/>
  <c r="A49" i="7" s="1"/>
  <c r="A50" i="7" s="1"/>
  <c r="A51" i="7" s="1"/>
  <c r="A62" i="1"/>
  <c r="F243" i="1"/>
  <c r="F26" i="1"/>
  <c r="A59" i="7" l="1"/>
  <c r="F76" i="1"/>
  <c r="F81" i="1"/>
  <c r="A65" i="1"/>
  <c r="A68" i="1" s="1"/>
  <c r="A71" i="1" l="1"/>
  <c r="A73" i="1" s="1"/>
  <c r="A76" i="1" s="1"/>
  <c r="F272" i="1"/>
  <c r="A60" i="7"/>
  <c r="A61" i="7" s="1"/>
  <c r="A67" i="7" l="1"/>
  <c r="F84" i="1"/>
  <c r="F85" i="1"/>
  <c r="A77" i="1"/>
  <c r="A78" i="1" s="1"/>
  <c r="A81" i="1" s="1"/>
  <c r="F78" i="1" l="1"/>
  <c r="F119" i="1"/>
  <c r="A82" i="1"/>
  <c r="A83" i="1" s="1"/>
  <c r="A68" i="7" l="1"/>
  <c r="A69" i="7" s="1"/>
  <c r="F83" i="1"/>
  <c r="A85" i="1"/>
  <c r="A70" i="7" l="1"/>
  <c r="F120" i="1" s="1"/>
  <c r="A86" i="1"/>
  <c r="F86" i="1"/>
  <c r="A89" i="1" l="1"/>
  <c r="A77" i="7"/>
  <c r="F125" i="1" s="1"/>
  <c r="A90" i="1"/>
  <c r="A91" i="1" s="1"/>
  <c r="A83" i="7" l="1"/>
  <c r="F124" i="1" s="1"/>
  <c r="A94" i="1"/>
  <c r="F91" i="1"/>
  <c r="A95" i="1" l="1"/>
  <c r="A96" i="1" s="1"/>
  <c r="A98" i="1" l="1"/>
  <c r="F96" i="1"/>
  <c r="A99" i="1" l="1"/>
  <c r="A100" i="1" s="1"/>
  <c r="F100" i="1" l="1"/>
  <c r="A101" i="1"/>
  <c r="A102" i="1" s="1"/>
  <c r="F102" i="1" l="1"/>
  <c r="A104" i="1"/>
  <c r="A106" i="1" l="1"/>
  <c r="A108" i="1" l="1"/>
  <c r="A84" i="7"/>
  <c r="A85" i="7" s="1"/>
  <c r="F127" i="1" l="1"/>
  <c r="A92" i="7"/>
  <c r="F126" i="1" s="1"/>
  <c r="F135" i="1"/>
  <c r="A110" i="1"/>
  <c r="A112" i="1" l="1"/>
  <c r="A114" i="1" s="1"/>
  <c r="F112" i="1"/>
  <c r="A93" i="7"/>
  <c r="F134" i="1" s="1"/>
  <c r="A100" i="7" l="1"/>
  <c r="F244" i="1"/>
  <c r="F114" i="1"/>
  <c r="A119" i="1"/>
  <c r="F245" i="1"/>
  <c r="A101" i="7" l="1"/>
  <c r="A108" i="7" s="1"/>
  <c r="F149" i="1" s="1"/>
  <c r="A120" i="1"/>
  <c r="A121" i="1" s="1"/>
  <c r="F128" i="1" l="1"/>
  <c r="A124" i="1"/>
  <c r="A109" i="7"/>
  <c r="F152" i="1" s="1"/>
  <c r="F121" i="1"/>
  <c r="A125" i="1"/>
  <c r="A110" i="7" l="1"/>
  <c r="F153" i="1" s="1"/>
  <c r="A126" i="1"/>
  <c r="A127" i="1" s="1"/>
  <c r="A128" i="1" s="1"/>
  <c r="A129" i="1" s="1"/>
  <c r="F138" i="1"/>
  <c r="A117" i="7" l="1"/>
  <c r="H12" i="4" s="1"/>
  <c r="F129" i="1"/>
  <c r="A130" i="1"/>
  <c r="A131" i="1" s="1"/>
  <c r="A134" i="1" s="1"/>
  <c r="A135" i="1" s="1"/>
  <c r="A136" i="1" s="1"/>
  <c r="A118" i="7" l="1"/>
  <c r="A119" i="7" s="1"/>
  <c r="A126" i="7" s="1"/>
  <c r="A127" i="7" s="1"/>
  <c r="A128" i="7" s="1"/>
  <c r="A129" i="7" s="1"/>
  <c r="A130" i="7" s="1"/>
  <c r="A131" i="7" s="1"/>
  <c r="A132" i="7" s="1"/>
  <c r="F167" i="1" s="1"/>
  <c r="F136" i="1"/>
  <c r="F131" i="1"/>
  <c r="A138" i="1"/>
  <c r="A133" i="7" l="1"/>
  <c r="F169" i="1" s="1"/>
  <c r="A139" i="1"/>
  <c r="F140" i="1" s="1"/>
  <c r="A140" i="1" l="1"/>
  <c r="A142" i="1" l="1"/>
  <c r="F142" i="1"/>
  <c r="A144" i="1" l="1"/>
  <c r="F144" i="1"/>
  <c r="F247" i="1"/>
  <c r="F89" i="1"/>
  <c r="A149" i="1"/>
  <c r="A150" i="1" s="1"/>
  <c r="A152" i="1" s="1"/>
  <c r="A153" i="1" s="1"/>
  <c r="A154" i="1" s="1"/>
  <c r="A155" i="1" s="1"/>
  <c r="A156" i="1" s="1"/>
  <c r="F158" i="1" s="1"/>
  <c r="F154" i="1" l="1"/>
  <c r="A158" i="1"/>
  <c r="F156" i="1"/>
  <c r="A162" i="1" l="1"/>
  <c r="F248" i="1"/>
  <c r="A164" i="1" l="1"/>
  <c r="F164" i="1"/>
  <c r="A167" i="1" l="1"/>
  <c r="F249" i="1"/>
  <c r="A169" i="1" l="1"/>
  <c r="A172" i="1" l="1"/>
  <c r="A173" i="1" l="1"/>
  <c r="A174" i="1" l="1"/>
  <c r="F190" i="1" s="1"/>
  <c r="A175" i="1" l="1"/>
  <c r="F176" i="1" l="1"/>
  <c r="A176" i="1"/>
  <c r="F191" i="1" s="1"/>
  <c r="A178" i="1" l="1"/>
  <c r="F189" i="1" s="1"/>
  <c r="A180" i="1" l="1"/>
  <c r="A181" i="1" s="1"/>
  <c r="A182" i="1" s="1"/>
  <c r="A183" i="1" s="1"/>
  <c r="A184" i="1" s="1"/>
  <c r="A185" i="1" s="1"/>
  <c r="A186" i="1" s="1"/>
  <c r="A187" i="1" s="1"/>
  <c r="A189" i="1" s="1"/>
  <c r="A190" i="1" l="1"/>
  <c r="F187" i="1"/>
  <c r="F198" i="1"/>
  <c r="A191" i="1" l="1"/>
  <c r="F192" i="1" s="1"/>
  <c r="F199" i="1"/>
  <c r="A192" i="1" l="1"/>
  <c r="F196" i="1" l="1"/>
  <c r="F194" i="1"/>
  <c r="A194" i="1"/>
  <c r="F195" i="1"/>
  <c r="A195" i="1" l="1"/>
  <c r="A196" i="1" l="1"/>
  <c r="C16" i="46" l="1"/>
  <c r="A198" i="1"/>
  <c r="A199" i="1" l="1"/>
  <c r="F202" i="1"/>
  <c r="A200" i="1" l="1"/>
  <c r="F203" i="1"/>
  <c r="A202" i="1" l="1"/>
  <c r="F204" i="1"/>
  <c r="A203" i="1" l="1"/>
  <c r="A204" i="1" l="1"/>
  <c r="A205" i="1" s="1"/>
  <c r="A207" i="1" l="1"/>
  <c r="A210" i="1" s="1"/>
  <c r="A211" i="1" s="1"/>
  <c r="A212" i="1" s="1"/>
  <c r="A213" i="1" s="1"/>
  <c r="F205" i="1"/>
  <c r="F207" i="1"/>
  <c r="F250" i="1" l="1"/>
  <c r="A214" i="1"/>
  <c r="A215" i="1" l="1"/>
  <c r="F237" i="1" s="1"/>
  <c r="A216" i="1" l="1"/>
  <c r="C17" i="46" l="1"/>
  <c r="F230" i="1"/>
  <c r="A219" i="1"/>
  <c r="A220" i="1" s="1"/>
  <c r="A221" i="1" s="1"/>
  <c r="A222" i="1" s="1"/>
  <c r="F224" i="1"/>
  <c r="F235" i="1" s="1"/>
  <c r="A223" i="1" l="1"/>
  <c r="F223" i="1"/>
  <c r="F222" i="1"/>
  <c r="A224" i="1" l="1"/>
  <c r="F225" i="1" s="1"/>
  <c r="A225" i="1" l="1"/>
  <c r="A228" i="1" s="1"/>
  <c r="F229" i="1" s="1"/>
  <c r="A229" i="1" l="1"/>
  <c r="A230" i="1" l="1"/>
  <c r="A231" i="1" l="1"/>
  <c r="A234" i="1" s="1"/>
  <c r="F231" i="1"/>
  <c r="A235" i="1" l="1"/>
  <c r="A236" i="1" s="1"/>
  <c r="A237" i="1" s="1"/>
  <c r="F236" i="1" l="1"/>
  <c r="F238" i="1"/>
  <c r="A238" i="1"/>
  <c r="A243" i="1" l="1"/>
  <c r="A244" i="1" s="1"/>
  <c r="A245" i="1" s="1"/>
  <c r="A247" i="1" s="1"/>
  <c r="F251" i="1"/>
  <c r="A248" i="1" l="1"/>
  <c r="A249" i="1" s="1"/>
  <c r="A250" i="1" s="1"/>
  <c r="A251" i="1" s="1"/>
  <c r="A253" i="1" s="1"/>
  <c r="F253" i="1" l="1"/>
  <c r="F271" i="1"/>
  <c r="A256" i="1"/>
  <c r="F260" i="1"/>
  <c r="A257" i="1" l="1"/>
  <c r="A258" i="1" s="1"/>
  <c r="F258" i="1" l="1"/>
  <c r="F259" i="1"/>
  <c r="A259" i="1"/>
  <c r="A260" i="1" s="1"/>
  <c r="F261" i="1" l="1"/>
  <c r="A261" i="1"/>
  <c r="A264" i="1" l="1"/>
  <c r="A266" i="1" s="1"/>
  <c r="F266" i="1" l="1"/>
  <c r="A271" i="1"/>
  <c r="F277" i="1"/>
  <c r="A272" i="1" l="1"/>
  <c r="A273" i="1" s="1"/>
  <c r="A274" i="1" s="1"/>
  <c r="A275" i="1" s="1"/>
  <c r="A277" i="1" s="1"/>
  <c r="F274" i="1" l="1"/>
  <c r="C14" i="47"/>
  <c r="F273" i="1"/>
  <c r="F275" i="1"/>
  <c r="A278" i="1"/>
  <c r="A279" i="1" l="1"/>
  <c r="A280" i="1" s="1"/>
  <c r="A281" i="1" l="1"/>
  <c r="A282" i="1" s="1"/>
  <c r="A283" i="1" s="1"/>
  <c r="A286" i="1" s="1"/>
  <c r="A287" i="1" s="1"/>
  <c r="F287" i="1" l="1"/>
  <c r="F283" i="1"/>
  <c r="F289" i="1"/>
  <c r="A289" i="1"/>
  <c r="A290" i="1" l="1"/>
  <c r="A291" i="1" s="1"/>
  <c r="A292" i="1" s="1"/>
  <c r="A293" i="1" s="1"/>
  <c r="F291" i="1"/>
  <c r="F290" i="1"/>
  <c r="F43" i="2"/>
  <c r="F292" i="1" l="1"/>
  <c r="F293" i="1"/>
  <c r="F44" i="2"/>
  <c r="F45" i="2" l="1"/>
  <c r="E9" i="2" s="1"/>
  <c r="E12" i="2" l="1"/>
  <c r="I38" i="8"/>
  <c r="I40" i="8" l="1"/>
  <c r="J38" i="8"/>
  <c r="J40" i="8" s="1"/>
  <c r="C62" i="2"/>
  <c r="K40" i="8" l="1"/>
  <c r="I41" i="8" s="1"/>
  <c r="H278" i="1" s="1"/>
  <c r="C64" i="2"/>
  <c r="D43" i="2" l="1"/>
  <c r="D45" i="2" s="1"/>
  <c r="C43" i="2"/>
  <c r="A23" i="5"/>
  <c r="A24" i="5" s="1"/>
  <c r="A25" i="5" s="1"/>
  <c r="A26" i="5" s="1"/>
  <c r="A28" i="5" s="1"/>
  <c r="A29" i="5" l="1"/>
  <c r="A30" i="5" s="1"/>
  <c r="C31" i="5" s="1"/>
  <c r="C36" i="5"/>
  <c r="A31" i="5" l="1"/>
  <c r="A33" i="5" l="1"/>
  <c r="A34" i="5" s="1"/>
  <c r="A134" i="7"/>
  <c r="F172" i="1" s="1"/>
  <c r="C34" i="5" l="1"/>
  <c r="A36" i="5"/>
  <c r="C37" i="5" s="1"/>
  <c r="F264" i="1"/>
  <c r="A135" i="7"/>
  <c r="F173" i="1" s="1"/>
  <c r="A37" i="5" l="1"/>
  <c r="A136" i="7"/>
  <c r="F175" i="1" s="1"/>
  <c r="A137" i="7" l="1"/>
  <c r="F178" i="1" l="1"/>
  <c r="A138" i="7"/>
  <c r="F179" i="1" l="1"/>
  <c r="A139" i="7"/>
  <c r="F180" i="1" s="1"/>
  <c r="A140" i="7" l="1"/>
  <c r="F181" i="1" s="1"/>
  <c r="A141" i="7"/>
  <c r="F182" i="1" s="1"/>
  <c r="A142" i="7" l="1"/>
  <c r="F183" i="1" s="1"/>
  <c r="A143" i="7" l="1"/>
  <c r="F184" i="1" s="1"/>
  <c r="A144" i="7" l="1"/>
  <c r="F185" i="1" s="1"/>
  <c r="A145" i="7" l="1"/>
  <c r="F186" i="1" s="1"/>
  <c r="A146" i="7" l="1"/>
  <c r="F174" i="1" s="1"/>
  <c r="A153" i="7" l="1"/>
  <c r="F211" i="1" s="1"/>
  <c r="A154" i="7" l="1"/>
  <c r="F212" i="1" s="1"/>
  <c r="A160" i="7" l="1"/>
  <c r="F220" i="1" s="1"/>
  <c r="A161" i="7" l="1"/>
  <c r="F219" i="1" s="1"/>
  <c r="A162" i="7" l="1"/>
  <c r="F228" i="1" l="1"/>
  <c r="A168" i="7"/>
  <c r="F257" i="1" l="1"/>
  <c r="A175" i="7"/>
  <c r="F282" i="1" s="1"/>
  <c r="A183" i="7" l="1"/>
  <c r="F286" i="1" s="1"/>
  <c r="A190" i="7" l="1"/>
  <c r="A191" i="7" l="1"/>
  <c r="A192" i="7" s="1"/>
  <c r="F150" i="1" s="1"/>
  <c r="A194" i="7" l="1"/>
  <c r="E194" i="7"/>
  <c r="E192" i="7"/>
  <c r="A195" i="7" l="1"/>
  <c r="F71" i="1" s="1"/>
  <c r="E195" i="7"/>
  <c r="A203" i="7"/>
  <c r="F234" i="1" s="1"/>
  <c r="F65" i="1" l="1"/>
  <c r="A212" i="7"/>
  <c r="F94" i="1" s="1"/>
  <c r="A213" i="7" l="1"/>
  <c r="A214" i="7" s="1"/>
  <c r="A215" i="7" l="1"/>
  <c r="F99" i="1"/>
  <c r="F98" i="1"/>
  <c r="F104" i="1" l="1"/>
  <c r="A222" i="7"/>
  <c r="F108" i="1" l="1"/>
  <c r="A229" i="7"/>
  <c r="A230" i="7" s="1"/>
  <c r="A231" i="7" s="1"/>
  <c r="F106" i="1" l="1"/>
  <c r="A237" i="7"/>
  <c r="F110" i="1"/>
  <c r="A243" i="7" l="1"/>
  <c r="A244" i="7" s="1"/>
  <c r="C10" i="46"/>
  <c r="A245" i="7" l="1"/>
  <c r="C11" i="46"/>
  <c r="A248" i="7" l="1"/>
  <c r="A249" i="7" s="1"/>
  <c r="A250" i="7" s="1"/>
  <c r="A253" i="7" s="1"/>
  <c r="A254" i="7" s="1"/>
  <c r="A255" i="7" s="1"/>
  <c r="A258" i="7" s="1"/>
  <c r="A259" i="7" s="1"/>
  <c r="A260" i="7" s="1"/>
  <c r="A263" i="7" s="1"/>
  <c r="A264" i="7" s="1"/>
  <c r="A265" i="7" s="1"/>
  <c r="A268" i="7" s="1"/>
  <c r="A269" i="7" s="1"/>
  <c r="A270" i="7" s="1"/>
  <c r="A273" i="7" s="1"/>
  <c r="A274" i="7" s="1"/>
  <c r="A275" i="7" s="1"/>
  <c r="A278" i="7" s="1"/>
  <c r="A279" i="7" s="1"/>
  <c r="A280" i="7" s="1"/>
  <c r="A283" i="7" s="1"/>
  <c r="A284" i="7" s="1"/>
  <c r="A285" i="7" s="1"/>
  <c r="A288" i="7" s="1"/>
  <c r="A289" i="7" s="1"/>
  <c r="C13" i="46"/>
  <c r="A290" i="7" l="1"/>
  <c r="A296" i="7" s="1"/>
  <c r="A297" i="7" l="1"/>
  <c r="C10" i="47"/>
  <c r="A298" i="7" l="1"/>
  <c r="C11" i="47"/>
  <c r="A301" i="7" l="1"/>
  <c r="A302" i="7" s="1"/>
  <c r="A303" i="7" s="1"/>
  <c r="A306" i="7" s="1"/>
  <c r="A307" i="7" s="1"/>
  <c r="C16" i="47"/>
  <c r="A308" i="7" l="1"/>
  <c r="A311" i="7" s="1"/>
  <c r="A312" i="7" s="1"/>
  <c r="A313" i="7" s="1"/>
  <c r="A316" i="7" s="1"/>
  <c r="A317" i="7" s="1"/>
  <c r="A318" i="7" s="1"/>
  <c r="A321" i="7" s="1"/>
  <c r="A322" i="7" s="1"/>
  <c r="A323" i="7" s="1"/>
  <c r="A326" i="7" s="1"/>
  <c r="A327" i="7" s="1"/>
  <c r="A328" i="7" s="1"/>
  <c r="A331" i="7" s="1"/>
  <c r="A332" i="7" s="1"/>
  <c r="A333" i="7" s="1"/>
  <c r="A336" i="7" s="1"/>
  <c r="A337" i="7" s="1"/>
  <c r="A338" i="7" s="1"/>
  <c r="A341" i="7" s="1"/>
  <c r="A342" i="7" s="1"/>
  <c r="A343" i="7" s="1"/>
  <c r="C44" i="2"/>
  <c r="C45" i="2" s="1"/>
  <c r="G45" i="2"/>
  <c r="F9" i="2" s="1"/>
  <c r="F12" i="2" s="1"/>
  <c r="F15" i="2" s="1"/>
  <c r="F17" i="2" l="1"/>
  <c r="F19" i="2" s="1"/>
  <c r="E27" i="4" l="1"/>
  <c r="E29" i="4" l="1"/>
  <c r="E43" i="4" s="1"/>
  <c r="E47" i="4" s="1"/>
  <c r="G27" i="4"/>
  <c r="H152" i="1" l="1"/>
  <c r="T18" i="7"/>
  <c r="H35" i="1" s="1"/>
  <c r="H154" i="1" l="1"/>
  <c r="H38" i="1"/>
  <c r="T24" i="7"/>
  <c r="H48" i="1" s="1"/>
  <c r="H51" i="1" l="1"/>
  <c r="H156" i="1"/>
  <c r="H40" i="1"/>
  <c r="H158" i="1" l="1"/>
  <c r="H53" i="1"/>
  <c r="H42" i="1"/>
  <c r="T9" i="7"/>
  <c r="H19" i="1" s="1"/>
  <c r="H55" i="1" l="1"/>
  <c r="H57" i="1" s="1"/>
  <c r="H248" i="1"/>
  <c r="H23" i="1"/>
  <c r="T11" i="7"/>
  <c r="H20" i="1" s="1"/>
  <c r="H24" i="1" l="1"/>
  <c r="W10" i="45" s="1"/>
  <c r="H243" i="1"/>
  <c r="H26" i="1"/>
  <c r="H21" i="1"/>
  <c r="H27" i="1" l="1"/>
  <c r="L19" i="42" s="1"/>
  <c r="M19" i="42" s="1"/>
  <c r="N19" i="42" s="1"/>
  <c r="H19" i="42" s="1"/>
  <c r="F40" i="44"/>
  <c r="G40" i="44" s="1"/>
  <c r="F42" i="44"/>
  <c r="G42" i="44" s="1"/>
  <c r="F36" i="44"/>
  <c r="G36" i="44" s="1"/>
  <c r="F34" i="44"/>
  <c r="G34" i="44" s="1"/>
  <c r="F43" i="44"/>
  <c r="G43" i="44" s="1"/>
  <c r="F38" i="44"/>
  <c r="G38" i="44" s="1"/>
  <c r="E14" i="2"/>
  <c r="E15" i="2" s="1"/>
  <c r="F37" i="44"/>
  <c r="G37" i="44" s="1"/>
  <c r="L21" i="42"/>
  <c r="M21" i="42" s="1"/>
  <c r="N21" i="42" s="1"/>
  <c r="H21" i="42" s="1"/>
  <c r="F20" i="4"/>
  <c r="G20" i="4" s="1"/>
  <c r="G29" i="4" s="1"/>
  <c r="H162" i="1" s="1"/>
  <c r="F41" i="44"/>
  <c r="G41" i="44" s="1"/>
  <c r="H95" i="1"/>
  <c r="E14" i="14"/>
  <c r="E15" i="14" s="1"/>
  <c r="E19" i="43" s="1"/>
  <c r="L13" i="42"/>
  <c r="M13" i="42" s="1"/>
  <c r="N13" i="42" s="1"/>
  <c r="H13" i="42" s="1"/>
  <c r="E17" i="43"/>
  <c r="E18" i="43" s="1"/>
  <c r="H139" i="1"/>
  <c r="F44" i="44"/>
  <c r="G44" i="44" s="1"/>
  <c r="F45" i="44"/>
  <c r="G45" i="44" s="1"/>
  <c r="F35" i="44" l="1"/>
  <c r="G35" i="44" s="1"/>
  <c r="F39" i="44"/>
  <c r="G39" i="44" s="1"/>
  <c r="L18" i="42"/>
  <c r="M18" i="42" s="1"/>
  <c r="N18" i="42" s="1"/>
  <c r="S18" i="42" s="1"/>
  <c r="L22" i="42"/>
  <c r="M22" i="42" s="1"/>
  <c r="N22" i="42" s="1"/>
  <c r="S22" i="42" s="1"/>
  <c r="L20" i="42"/>
  <c r="M20" i="42" s="1"/>
  <c r="N20" i="42" s="1"/>
  <c r="H20" i="42" s="1"/>
  <c r="L11" i="42"/>
  <c r="M11" i="42" s="1"/>
  <c r="N11" i="42" s="1"/>
  <c r="S11" i="42" s="1"/>
  <c r="L23" i="42"/>
  <c r="M23" i="42" s="1"/>
  <c r="N23" i="42" s="1"/>
  <c r="S23" i="42" s="1"/>
  <c r="L14" i="42"/>
  <c r="M14" i="42" s="1"/>
  <c r="N14" i="42" s="1"/>
  <c r="H14" i="42" s="1"/>
  <c r="L12" i="42"/>
  <c r="M12" i="42" s="1"/>
  <c r="N12" i="42" s="1"/>
  <c r="L16" i="42"/>
  <c r="M16" i="42" s="1"/>
  <c r="N16" i="42" s="1"/>
  <c r="H16" i="42" s="1"/>
  <c r="L17" i="42"/>
  <c r="M17" i="42" s="1"/>
  <c r="N17" i="42" s="1"/>
  <c r="S17" i="42" s="1"/>
  <c r="L15" i="42"/>
  <c r="M15" i="42" s="1"/>
  <c r="N15" i="42" s="1"/>
  <c r="H15" i="42" s="1"/>
  <c r="S19" i="42"/>
  <c r="H23" i="42"/>
  <c r="H140" i="1"/>
  <c r="H164" i="1"/>
  <c r="H96" i="1"/>
  <c r="H18" i="42"/>
  <c r="E20" i="43"/>
  <c r="E16" i="2"/>
  <c r="S21" i="42"/>
  <c r="S13" i="42"/>
  <c r="H17" i="42" l="1"/>
  <c r="S16" i="42"/>
  <c r="H22" i="42"/>
  <c r="H11" i="42"/>
  <c r="N24" i="42"/>
  <c r="E18" i="2" s="1"/>
  <c r="S15" i="42"/>
  <c r="S20" i="42"/>
  <c r="S14" i="42"/>
  <c r="H142" i="1"/>
  <c r="H249" i="1"/>
  <c r="E17" i="2"/>
  <c r="E19" i="2" s="1"/>
  <c r="T137" i="7"/>
  <c r="H178" i="1" s="1"/>
  <c r="H189" i="1" l="1"/>
  <c r="H187" i="1"/>
  <c r="S132" i="7"/>
  <c r="H167" i="1" s="1"/>
  <c r="H198" i="1" l="1"/>
  <c r="N36" i="44"/>
  <c r="L18" i="44" s="1"/>
  <c r="N45" i="44"/>
  <c r="L27" i="44" s="1"/>
  <c r="N34" i="44"/>
  <c r="L16" i="44" s="1"/>
  <c r="M16" i="44" s="1"/>
  <c r="N35" i="44"/>
  <c r="L17" i="44" s="1"/>
  <c r="N37" i="44"/>
  <c r="L19" i="44" s="1"/>
  <c r="N39" i="44"/>
  <c r="L21" i="44" s="1"/>
  <c r="N42" i="44"/>
  <c r="L24" i="44" s="1"/>
  <c r="N40" i="44"/>
  <c r="L22" i="44" s="1"/>
  <c r="N44" i="44"/>
  <c r="L26" i="44" s="1"/>
  <c r="N38" i="44"/>
  <c r="L20" i="44" s="1"/>
  <c r="N41" i="44"/>
  <c r="L23" i="44" s="1"/>
  <c r="N43" i="44"/>
  <c r="L25" i="44" s="1"/>
  <c r="M26" i="44" l="1"/>
  <c r="O26" i="44" s="1"/>
  <c r="P26" i="44"/>
  <c r="P17" i="44"/>
  <c r="M17" i="44"/>
  <c r="O17" i="44" s="1"/>
  <c r="P16" i="44"/>
  <c r="L28" i="44"/>
  <c r="N16" i="44"/>
  <c r="M22" i="44"/>
  <c r="O22" i="44" s="1"/>
  <c r="P22" i="44"/>
  <c r="M21" i="44"/>
  <c r="N21" i="44" s="1"/>
  <c r="P21" i="44"/>
  <c r="P25" i="44"/>
  <c r="M25" i="44"/>
  <c r="N25" i="44" s="1"/>
  <c r="M24" i="44"/>
  <c r="O24" i="44" s="1"/>
  <c r="P24" i="44"/>
  <c r="H18" i="43"/>
  <c r="M27" i="44"/>
  <c r="O27" i="44" s="1"/>
  <c r="P27" i="44"/>
  <c r="M23" i="44"/>
  <c r="N23" i="44" s="1"/>
  <c r="P23" i="44"/>
  <c r="M20" i="44"/>
  <c r="N20" i="44" s="1"/>
  <c r="P20" i="44"/>
  <c r="P19" i="44"/>
  <c r="M19" i="44"/>
  <c r="O19" i="44" s="1"/>
  <c r="M18" i="44"/>
  <c r="N18" i="44" s="1"/>
  <c r="P18" i="44"/>
  <c r="N26" i="44" l="1"/>
  <c r="N27" i="44"/>
  <c r="O23" i="44"/>
  <c r="N17" i="44"/>
  <c r="O21" i="44"/>
  <c r="N19" i="44"/>
  <c r="P28" i="44"/>
  <c r="O18" i="44"/>
  <c r="O25" i="44"/>
  <c r="O20" i="44"/>
  <c r="N24" i="44"/>
  <c r="N22" i="44"/>
  <c r="O16" i="44"/>
  <c r="M28" i="44"/>
  <c r="N28" i="44" l="1"/>
  <c r="O28" i="44"/>
  <c r="Q16" i="44"/>
  <c r="Q17" i="44" l="1"/>
  <c r="Q18" i="44" s="1"/>
  <c r="Q19" i="44" s="1"/>
  <c r="Q20" i="44" s="1"/>
  <c r="Q21" i="44" s="1"/>
  <c r="Q22" i="44" s="1"/>
  <c r="Q23" i="44" s="1"/>
  <c r="Q24" i="44" s="1"/>
  <c r="Q25" i="44" s="1"/>
  <c r="Q26" i="44" s="1"/>
  <c r="Q27" i="44" s="1"/>
  <c r="H21" i="43" s="1"/>
  <c r="H119" i="1"/>
  <c r="H120" i="1" l="1"/>
  <c r="H121" i="1" l="1"/>
  <c r="H144" i="1" l="1"/>
  <c r="T134" i="7"/>
  <c r="H172" i="1" s="1"/>
  <c r="H247" i="1" l="1"/>
  <c r="H89" i="1"/>
  <c r="H176" i="1"/>
  <c r="H91" i="1" l="1"/>
  <c r="H191" i="1"/>
  <c r="H192" i="1" l="1"/>
  <c r="H194" i="1" l="1"/>
  <c r="H195" i="1"/>
  <c r="H196" i="1"/>
  <c r="E64" i="2"/>
  <c r="D10" i="2" s="1"/>
  <c r="Q16" i="46" l="1"/>
  <c r="Q18" i="46" s="1"/>
  <c r="I16" i="46"/>
  <c r="I18" i="46" s="1"/>
  <c r="O16" i="46"/>
  <c r="O18" i="46" s="1"/>
  <c r="G16" i="46"/>
  <c r="G18" i="46" s="1"/>
  <c r="W16" i="46"/>
  <c r="W18" i="46" s="1"/>
  <c r="M16" i="46"/>
  <c r="M18" i="46" s="1"/>
  <c r="U16" i="46"/>
  <c r="U18" i="46" s="1"/>
  <c r="S16" i="46"/>
  <c r="S18" i="46" s="1"/>
  <c r="Y16" i="46"/>
  <c r="Y18" i="46" s="1"/>
  <c r="H204" i="1"/>
  <c r="K16" i="46"/>
  <c r="K18" i="46" s="1"/>
  <c r="H203" i="1"/>
  <c r="H202" i="1"/>
  <c r="D12" i="2"/>
  <c r="D15" i="2" s="1"/>
  <c r="E18" i="46" l="1"/>
  <c r="H280" i="1" s="1"/>
  <c r="H205" i="1"/>
  <c r="H15" i="2"/>
  <c r="D34" i="5" l="1"/>
  <c r="H264" i="1" s="1"/>
  <c r="J12" i="42" l="1"/>
  <c r="J24" i="42" s="1"/>
  <c r="I24" i="42"/>
  <c r="H24" i="42" l="1"/>
  <c r="D18" i="2"/>
  <c r="S24" i="42"/>
  <c r="H12" i="42"/>
  <c r="S12" i="42"/>
  <c r="H18" i="2" l="1"/>
  <c r="C61" i="14"/>
  <c r="E61" i="14"/>
  <c r="D10" i="14" s="1"/>
  <c r="D12" i="14" s="1"/>
  <c r="D15" i="14" s="1"/>
  <c r="D16" i="2" l="1"/>
  <c r="H15" i="14"/>
  <c r="D19" i="43"/>
  <c r="H19" i="43" l="1"/>
  <c r="D20" i="43"/>
  <c r="H20" i="43" s="1"/>
  <c r="H22" i="43" s="1"/>
  <c r="H62" i="1" s="1"/>
  <c r="H16" i="2"/>
  <c r="D17" i="2"/>
  <c r="H17" i="2" l="1"/>
  <c r="D19" i="2"/>
  <c r="H112" i="1"/>
  <c r="H244" i="1" l="1"/>
  <c r="H114" i="1"/>
  <c r="H237" i="1" l="1"/>
  <c r="H207" i="1"/>
  <c r="H245" i="1"/>
  <c r="H250" i="1" l="1"/>
  <c r="H238" i="1"/>
  <c r="H251" i="1" l="1"/>
  <c r="H253" i="1"/>
  <c r="H271" i="1" l="1"/>
  <c r="H260" i="1"/>
  <c r="H261" i="1" l="1"/>
  <c r="H274" i="1"/>
  <c r="H273" i="1"/>
  <c r="H275" i="1"/>
  <c r="G14" i="47" l="1"/>
  <c r="G15" i="47" s="1"/>
  <c r="G19" i="47" s="1"/>
  <c r="I14" i="47"/>
  <c r="I15" i="47" s="1"/>
  <c r="I19" i="47" s="1"/>
  <c r="K14" i="47"/>
  <c r="K15" i="47" s="1"/>
  <c r="K19" i="47" s="1"/>
  <c r="M14" i="47"/>
  <c r="M15" i="47" s="1"/>
  <c r="M19" i="47" s="1"/>
  <c r="O14" i="47"/>
  <c r="O15" i="47" s="1"/>
  <c r="O19" i="47" s="1"/>
  <c r="Q14" i="47"/>
  <c r="Q15" i="47" s="1"/>
  <c r="Q19" i="47" s="1"/>
  <c r="S14" i="47"/>
  <c r="S15" i="47" s="1"/>
  <c r="S19" i="47" s="1"/>
  <c r="U14" i="47"/>
  <c r="U15" i="47" s="1"/>
  <c r="U19" i="47" s="1"/>
  <c r="W14" i="47"/>
  <c r="W15" i="47" s="1"/>
  <c r="W19" i="47" s="1"/>
  <c r="Y14" i="47"/>
  <c r="Y15" i="47" s="1"/>
  <c r="Y19" i="47" s="1"/>
  <c r="H266" i="1"/>
  <c r="H277" i="1" l="1"/>
  <c r="E19" i="47"/>
  <c r="E23" i="47" s="1"/>
  <c r="I21" i="47" l="1"/>
  <c r="I23" i="47" s="1"/>
  <c r="I28" i="47" s="1"/>
  <c r="Q21" i="47"/>
  <c r="Q23" i="47" s="1"/>
  <c r="Q28" i="47" s="1"/>
  <c r="M21" i="47"/>
  <c r="M23" i="47" s="1"/>
  <c r="M28" i="47" s="1"/>
  <c r="G21" i="47"/>
  <c r="G23" i="47" s="1"/>
  <c r="G28" i="47" s="1"/>
  <c r="Y21" i="47"/>
  <c r="Y23" i="47" s="1"/>
  <c r="Y28" i="47" s="1"/>
  <c r="W21" i="47"/>
  <c r="W23" i="47" s="1"/>
  <c r="W28" i="47" s="1"/>
  <c r="O21" i="47"/>
  <c r="O23" i="47" s="1"/>
  <c r="O28" i="47" s="1"/>
  <c r="S21" i="47"/>
  <c r="S23" i="47" s="1"/>
  <c r="S28" i="47" s="1"/>
  <c r="U21" i="47"/>
  <c r="U23" i="47" s="1"/>
  <c r="U28" i="47" s="1"/>
  <c r="K21" i="47"/>
  <c r="K23" i="47" s="1"/>
  <c r="K28" i="47" s="1"/>
  <c r="E28" i="47" l="1"/>
  <c r="H281" i="1"/>
  <c r="H283" i="1" l="1"/>
  <c r="H287" i="1" l="1"/>
  <c r="H289" i="1" l="1"/>
  <c r="H291" i="1" l="1"/>
  <c r="H290" i="1"/>
  <c r="H293" i="1" l="1"/>
  <c r="H29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tc={381B44A1-8B19-43B6-BBBA-D695F73831D0}</author>
  </authors>
  <commentList>
    <comment ref="S119"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Included in FICA</t>
      </text>
    </comment>
  </commentList>
</comments>
</file>

<file path=xl/sharedStrings.xml><?xml version="1.0" encoding="utf-8"?>
<sst xmlns="http://schemas.openxmlformats.org/spreadsheetml/2006/main" count="2136" uniqueCount="1028">
  <si>
    <t>Dayton Power and Light</t>
  </si>
  <si>
    <t xml:space="preserve">ATTACHMENT H-15A </t>
  </si>
  <si>
    <t>Formula Rate -- Appendix A (electric only)</t>
  </si>
  <si>
    <t>Notes</t>
  </si>
  <si>
    <t>Formula Rate Attachment Reference or Instruction</t>
  </si>
  <si>
    <t>Shaded cells are input cells</t>
  </si>
  <si>
    <t>Allocators</t>
  </si>
  <si>
    <t>Wages &amp; Salary Allocation Factor</t>
  </si>
  <si>
    <t>Transmission Wages Expense</t>
  </si>
  <si>
    <t>Total O&amp;M Wages Expense</t>
  </si>
  <si>
    <t>Less A&amp;G Wages Expense</t>
  </si>
  <si>
    <t>Total Wages Less A&amp;G Wages Expense</t>
  </si>
  <si>
    <t>Wages &amp; Salary Allocator</t>
  </si>
  <si>
    <t>Plant Allocation Factors</t>
  </si>
  <si>
    <t>Electric Plant in Service</t>
  </si>
  <si>
    <t>Accumulated Depreciation (Total Electric Plant)</t>
  </si>
  <si>
    <t>Net Plant</t>
  </si>
  <si>
    <t>Transmission Gross Plant</t>
  </si>
  <si>
    <t>Gross Plant Allocator</t>
  </si>
  <si>
    <t>Transmission Net Plant</t>
  </si>
  <si>
    <t>Net Plant Allocator</t>
  </si>
  <si>
    <t>Plant Calculations</t>
  </si>
  <si>
    <t>Plant In Service</t>
  </si>
  <si>
    <t>Transmission Plant In Service</t>
  </si>
  <si>
    <t>General</t>
  </si>
  <si>
    <t>Intangible - Electric</t>
  </si>
  <si>
    <t>Common Plant - Electric</t>
  </si>
  <si>
    <t>Total General, Intangible &amp; Common Plant</t>
  </si>
  <si>
    <t>Wage &amp; Salary Allocator</t>
  </si>
  <si>
    <t>General and Intangible Plant Allocated to Transmission</t>
  </si>
  <si>
    <t>Total Plant In Service</t>
  </si>
  <si>
    <t>Accumulated Depreciation</t>
  </si>
  <si>
    <t>Transmission Accumulated Depreciation</t>
  </si>
  <si>
    <t>Accumulated General Depreciation</t>
  </si>
  <si>
    <t>Accumulated Intangible Amortization</t>
  </si>
  <si>
    <t>Accumulated Common Plant Depreciation and Amortization- Electric</t>
  </si>
  <si>
    <t>Accumulated General, Intangible and Common Depreciation</t>
  </si>
  <si>
    <t>Subtotal General, Intangible and Common Accum. Depreciation Allocated to Transmission</t>
  </si>
  <si>
    <t>Total Accumulated Depreciation</t>
  </si>
  <si>
    <t>Total Net Plant in Service</t>
  </si>
  <si>
    <t>Adjustments To Rate Base</t>
  </si>
  <si>
    <t>Accumulated Deferred Income Taxes</t>
  </si>
  <si>
    <t>Excluding FAS 109</t>
  </si>
  <si>
    <t>Excess ADIT</t>
  </si>
  <si>
    <t xml:space="preserve">CWIP Incentive </t>
  </si>
  <si>
    <t xml:space="preserve">CWIP Balances  </t>
  </si>
  <si>
    <t>Abandoned Transmission Projects</t>
  </si>
  <si>
    <t>Unamortized Abandoned Transmission Projects</t>
  </si>
  <si>
    <t xml:space="preserve">Plant Held for Future Use </t>
  </si>
  <si>
    <t>Prepayments</t>
  </si>
  <si>
    <t xml:space="preserve">Prepayments </t>
  </si>
  <si>
    <t>Prepayments Allocated to Transmission</t>
  </si>
  <si>
    <t>Materials and Supplies</t>
  </si>
  <si>
    <t>Undistributed Stores Expense</t>
  </si>
  <si>
    <t>Total Undistributed Stores Expense Allocated to Transmission</t>
  </si>
  <si>
    <t>Transmission Materials &amp; Supplies</t>
  </si>
  <si>
    <t>Total Materials &amp; Supplies for Transmission</t>
  </si>
  <si>
    <t>Cash Working Capital</t>
  </si>
  <si>
    <t xml:space="preserve">Operation &amp; Maintenance Expense </t>
  </si>
  <si>
    <t>Total Cash Working Capital for Transmission</t>
  </si>
  <si>
    <t>Unfunded Reserves</t>
  </si>
  <si>
    <t>Property Insurance</t>
  </si>
  <si>
    <t>Property Insurance Allocated to Transmission</t>
  </si>
  <si>
    <t>Injuries and Damages</t>
  </si>
  <si>
    <t>Total</t>
  </si>
  <si>
    <t>Wage and Salary Allocator</t>
  </si>
  <si>
    <t>I&amp;J and P&amp;B Allocated to Transmission</t>
  </si>
  <si>
    <t>Miscellaneous Operating Provisions - Transmission Portion</t>
  </si>
  <si>
    <t>Deferred Credits</t>
  </si>
  <si>
    <t>Miscellaneous Current and Accrued Liabilities</t>
  </si>
  <si>
    <t>Total Adjustments to Rate Base</t>
  </si>
  <si>
    <t>Rate Base</t>
  </si>
  <si>
    <t>Operations &amp; Maintenance Expense</t>
  </si>
  <si>
    <t>Transmission O&amp;M</t>
  </si>
  <si>
    <t>Less:  Excluded Transmission O&amp;M</t>
  </si>
  <si>
    <t>Allocated Administrative &amp; General Expenses</t>
  </si>
  <si>
    <t>Total A&amp;G</t>
  </si>
  <si>
    <t xml:space="preserve">    Less Property Insurance Expense</t>
  </si>
  <si>
    <t xml:space="preserve">    Less Regulatory Commission Expense</t>
  </si>
  <si>
    <t xml:space="preserve">    Less Service Company and DP&amp;L Costs Directly Assigned to A&amp;G Distribution and Transmission</t>
  </si>
  <si>
    <t>Administrative &amp; General Expenses</t>
  </si>
  <si>
    <t>Administrative &amp; General Expenses Allocated to Transmission</t>
  </si>
  <si>
    <t>Directly Assigned A&amp;G</t>
  </si>
  <si>
    <t>Service Company and DP&amp;L Costs Directly Assigned to A&amp;G Transmission</t>
  </si>
  <si>
    <t>Subtotal</t>
  </si>
  <si>
    <t>Property Insurance Account 924</t>
  </si>
  <si>
    <t>Total A&amp;G for Transmission</t>
  </si>
  <si>
    <t xml:space="preserve">Total Transmission O&amp;M </t>
  </si>
  <si>
    <t>Depreciation &amp; Amortization Expense</t>
  </si>
  <si>
    <t>Depreciation Expense</t>
  </si>
  <si>
    <t>Transmission Depreciation Expense</t>
  </si>
  <si>
    <t>Amortization of Abandoned Plant Projects</t>
  </si>
  <si>
    <t>General and Common Depreciation Expense</t>
  </si>
  <si>
    <t>Intangible Amortization Expense</t>
  </si>
  <si>
    <t>General and Common Depreciation &amp; Intangible Amortization Allocated to Transmission</t>
  </si>
  <si>
    <t>Total Transmission Depreciation &amp; Amortization</t>
  </si>
  <si>
    <t xml:space="preserve">Taxes Other than Income Taxes                                                   </t>
  </si>
  <si>
    <t>Taxes Other than Income Taxes</t>
  </si>
  <si>
    <t>Total Transmission Taxes Other than Income Taxes</t>
  </si>
  <si>
    <t>Rate of Return</t>
  </si>
  <si>
    <t>Long Term Interest</t>
  </si>
  <si>
    <t>Preferred Dividends</t>
  </si>
  <si>
    <t>Capitalization</t>
  </si>
  <si>
    <t>Common Stock</t>
  </si>
  <si>
    <t>Proprietary Capital</t>
  </si>
  <si>
    <t xml:space="preserve">    Less: Accumulated Other Comprehensive Income (Account 219)</t>
  </si>
  <si>
    <t xml:space="preserve">    Less: Preferred Stock</t>
  </si>
  <si>
    <t xml:space="preserve">    Less: Unappropriated, Undistributed Subsidiary Earnings (Account 216.1)</t>
  </si>
  <si>
    <t>Long Term Debt</t>
  </si>
  <si>
    <t xml:space="preserve">      Add: Unamortized  Loss on Reacquired Debt </t>
  </si>
  <si>
    <t xml:space="preserve">               Unamortized Premium</t>
  </si>
  <si>
    <t xml:space="preserve">               Unamortized Gain on Reacquired Debt</t>
  </si>
  <si>
    <t xml:space="preserve">               Long-term Portion of Derivative Assets - Hedges</t>
  </si>
  <si>
    <t xml:space="preserve">              Derivative Instrument Liabilities - Hedges</t>
  </si>
  <si>
    <t>Preferred Stock</t>
  </si>
  <si>
    <t>Total  Capitalization</t>
  </si>
  <si>
    <t>Debt %</t>
  </si>
  <si>
    <t>Total Long Term Debt</t>
  </si>
  <si>
    <t>Preferred %</t>
  </si>
  <si>
    <t>Common %</t>
  </si>
  <si>
    <t>Debt Cost</t>
  </si>
  <si>
    <t>Preferred Cost</t>
  </si>
  <si>
    <t>Common Cost</t>
  </si>
  <si>
    <t>Fixed</t>
  </si>
  <si>
    <t>Weighted Cost of Debt</t>
  </si>
  <si>
    <t>Total Long Term Debt (WCLTD)</t>
  </si>
  <si>
    <t>Weighted Cost of Preferred</t>
  </si>
  <si>
    <t>Weighted Cost of Common</t>
  </si>
  <si>
    <t>Rate of Return on Rate Base ( ROR )</t>
  </si>
  <si>
    <t>Transmission Investment Return = Rate Base * Rate of Return</t>
  </si>
  <si>
    <t xml:space="preserve">Income Taxes                                                                                                       </t>
  </si>
  <si>
    <t xml:space="preserve"> </t>
  </si>
  <si>
    <t>Income Tax Rates</t>
  </si>
  <si>
    <t>FIT=Federal Income Tax Rate</t>
  </si>
  <si>
    <t>SIT=State Income Tax Rate or Composite</t>
  </si>
  <si>
    <t>MIT= Average Municipality Tax Rate</t>
  </si>
  <si>
    <t>p</t>
  </si>
  <si>
    <t>(percent of federal income tax deductible for state purposes)</t>
  </si>
  <si>
    <t>Per State Tax Code</t>
  </si>
  <si>
    <t>Composite Income Tax Rate (T)</t>
  </si>
  <si>
    <t xml:space="preserve">     = FIT + SIT + MIT - (SIT + MIT) * FIT - (FIT * p * SIT)</t>
  </si>
  <si>
    <t>T / (1-T)</t>
  </si>
  <si>
    <t>1/(1-T)</t>
  </si>
  <si>
    <t>ITC Adjustment</t>
  </si>
  <si>
    <t>Amortization of Investment Tax Credit - Transmission</t>
  </si>
  <si>
    <t>Amortization of Investment Tax Credit - General</t>
  </si>
  <si>
    <t>Amortization of Investment Tax Credit - General Allocated to Transmission</t>
  </si>
  <si>
    <t>Total Amortization of Investment Tax Credit - Transmission</t>
  </si>
  <si>
    <t>ITC Amortization Allocated to Transmission</t>
  </si>
  <si>
    <t>Equity AFUDC Component of Transmission Depreciation</t>
  </si>
  <si>
    <t>Tax Effect of AFUDC Equity Permanent Difference</t>
  </si>
  <si>
    <t>Equity AFUDC Adjustment for Transmission</t>
  </si>
  <si>
    <t>Amortization of Excess Accumulated Deferred Income Taxes</t>
  </si>
  <si>
    <t>Amortization of Excess ADIT</t>
  </si>
  <si>
    <t>Amortization of Excess ADIT for Transmission</t>
  </si>
  <si>
    <t>Income Tax Component</t>
  </si>
  <si>
    <t xml:space="preserve">     (T/1-T) * Weighted Cost of Preferred and Common * Rate Base</t>
  </si>
  <si>
    <t>Transmission Income Taxes</t>
  </si>
  <si>
    <t>Transmission Revenue Requirement</t>
  </si>
  <si>
    <t>Summary</t>
  </si>
  <si>
    <t>Net Property, Plant &amp; Equipment</t>
  </si>
  <si>
    <t>Total Transmission O&amp;M</t>
  </si>
  <si>
    <t>Taxes Other than Income</t>
  </si>
  <si>
    <t>Investment Return</t>
  </si>
  <si>
    <t>Income Taxes</t>
  </si>
  <si>
    <t>Gross Transmission Revenue Requirement</t>
  </si>
  <si>
    <t>Adjustment to Remove Revenue Requirements Associated with Excluded Transmission Facilities</t>
  </si>
  <si>
    <t>Excluded Transmission Facilities</t>
  </si>
  <si>
    <t>Included Transmission Facilities</t>
  </si>
  <si>
    <t>Inclusion Ratio</t>
  </si>
  <si>
    <t>Gross Revenue Requirement</t>
  </si>
  <si>
    <t>Adjusted Gross Revenue Requirement</t>
  </si>
  <si>
    <t>Revenue Credits &amp; Interest on Network Credits</t>
  </si>
  <si>
    <t>Revenue Credits</t>
  </si>
  <si>
    <t>Net Transmission Revenue Requirement</t>
  </si>
  <si>
    <t>Zonal Network Integration Transmission Service Rate and Carrying Charges</t>
  </si>
  <si>
    <t>Carrying Charges</t>
  </si>
  <si>
    <t xml:space="preserve">Net Transmission Plant and CWIP </t>
  </si>
  <si>
    <t xml:space="preserve">Net Plant Carrying Charge </t>
  </si>
  <si>
    <t>Net Plant Carrying Charge without Depreciation</t>
  </si>
  <si>
    <t>Net Plant Carrying Charge without Depreciation, Return, nor Income Taxes</t>
  </si>
  <si>
    <t>True-up amount</t>
  </si>
  <si>
    <t>Corrections</t>
  </si>
  <si>
    <t>ROE Adder for DP&amp;L Projects Included Only in the Dayton Zone</t>
  </si>
  <si>
    <t>Facility Credits under Section 30.9 of the PJM OATT</t>
  </si>
  <si>
    <t>Annual Transmission Revenue Requirement - Dayton Zone</t>
  </si>
  <si>
    <t>Network Integration Transmission Service Rate - Dayton Zone</t>
  </si>
  <si>
    <t>1 CP Peak</t>
  </si>
  <si>
    <t>Rate ($/MW-Year)</t>
  </si>
  <si>
    <t>Network Integration Transmission Service Rate - Dayton Zone ($/MW/Year)</t>
  </si>
  <si>
    <t>Monthly Rate</t>
  </si>
  <si>
    <t>Weekly Rate</t>
  </si>
  <si>
    <t>Daily On-Peak Rate</t>
  </si>
  <si>
    <t>Daily Off-Peak Rate</t>
  </si>
  <si>
    <t>A</t>
  </si>
  <si>
    <t>Calculated using 13-month average balances</t>
  </si>
  <si>
    <t>B</t>
  </si>
  <si>
    <t>C</t>
  </si>
  <si>
    <t>D</t>
  </si>
  <si>
    <t xml:space="preserve">Includes 100% of Regulatory Commission Expenses charged to A&amp;G </t>
  </si>
  <si>
    <t>E</t>
  </si>
  <si>
    <t>Includes Regulatory Commission Expenses charged to A&amp;G and directly related to transmission service, RTO filings, or transmission siting and all itemized in Form 1 at 351.h</t>
  </si>
  <si>
    <t>F</t>
  </si>
  <si>
    <t>CWIP can only be included in rate base if authorized by the Commission</t>
  </si>
  <si>
    <t>G</t>
  </si>
  <si>
    <t>H</t>
  </si>
  <si>
    <t>I</t>
  </si>
  <si>
    <t>J</t>
  </si>
  <si>
    <t>K</t>
  </si>
  <si>
    <t>Calculated using the average of the beginning and end of current year balances.  Goodwill may only be included pursuant to a Commission Order authorizing such inclusion</t>
  </si>
  <si>
    <t>L</t>
  </si>
  <si>
    <t xml:space="preserve">Calculated using the average of the beginning and end of current year balances </t>
  </si>
  <si>
    <t>M</t>
  </si>
  <si>
    <t>Unamortized Abandoned Plant and Amortization of Abandoned Plant may only be included pursuant to a Commission Order authorizing such inclusion</t>
  </si>
  <si>
    <t>N</t>
  </si>
  <si>
    <t>O</t>
  </si>
  <si>
    <t>P</t>
  </si>
  <si>
    <t>Q</t>
  </si>
  <si>
    <t>R</t>
  </si>
  <si>
    <t>S</t>
  </si>
  <si>
    <t xml:space="preserve">Include any Network or Facility Credits provided pursuant to Section 30.9 of the PJM OATT if not already included in another category of the Formula Rate.  </t>
  </si>
  <si>
    <t>END</t>
  </si>
  <si>
    <t>T</t>
  </si>
  <si>
    <t>Only</t>
  </si>
  <si>
    <t>Transmission</t>
  </si>
  <si>
    <t xml:space="preserve">Plant </t>
  </si>
  <si>
    <t>Labor</t>
  </si>
  <si>
    <t>Revenue</t>
  </si>
  <si>
    <t>Related</t>
  </si>
  <si>
    <t>ADIT</t>
  </si>
  <si>
    <t>ADIT-190 w/o prorated items</t>
  </si>
  <si>
    <t>ADIT-282 w/o prorated items</t>
  </si>
  <si>
    <t>ADIT-283 w/o prorated items</t>
  </si>
  <si>
    <t>End of  Year ADIT</t>
  </si>
  <si>
    <t>End of  Previous Year ADIT (from 1C - ADIT Prior Year)</t>
  </si>
  <si>
    <t>Average Beginning and End of Year - Nonprorated Items</t>
  </si>
  <si>
    <t>ADIT-282 - Prorated Items</t>
  </si>
  <si>
    <t>Total ADIT</t>
  </si>
  <si>
    <t>Items that are not prorated are below.  Debit amounts are shown as positive and credit amounts are shown as negative.</t>
  </si>
  <si>
    <t>dissimilar items with amounts exceeding $100,000 will be listed separately;</t>
  </si>
  <si>
    <t>ADIT-190</t>
  </si>
  <si>
    <t>Excluded</t>
  </si>
  <si>
    <t>Justification</t>
  </si>
  <si>
    <t>Vacation Pay</t>
  </si>
  <si>
    <t xml:space="preserve">Book estimate accrued and expensed - tax deduction when paid. </t>
  </si>
  <si>
    <t>Post-retirement Benefits - FAS 106</t>
  </si>
  <si>
    <t xml:space="preserve">FAS 106 - Post Retirement Benefits Obligation </t>
  </si>
  <si>
    <t>Deferred Compensation</t>
  </si>
  <si>
    <t>Federal Taxes Deferred - FAS 109</t>
  </si>
  <si>
    <t>FAS 109 - primarily associated with items previously flowed through due to regulation.  Removed below.</t>
  </si>
  <si>
    <t>Union Disability</t>
  </si>
  <si>
    <t>Reversal for book reserves for employee disability, and medical reserves - tax deduction when paid</t>
  </si>
  <si>
    <t>Federal Deferred Tax on Future Tax Impacts</t>
  </si>
  <si>
    <t>FIN 48 deferred tax offsets to reflect tax position uncertainties.</t>
  </si>
  <si>
    <t>Employee Stock Plans</t>
  </si>
  <si>
    <t>Book estimate accrued and expensed - tax deduction when paid</t>
  </si>
  <si>
    <t>Bad Debt Expense</t>
  </si>
  <si>
    <t>Reversal of book reserve and tax deduction for actual bad debt charge offs</t>
  </si>
  <si>
    <t>State Income Taxes</t>
  </si>
  <si>
    <t>Capitalized Interest Income</t>
  </si>
  <si>
    <t>Tax capitalized interest on certain pollution control bonds</t>
  </si>
  <si>
    <t>Deferred Federal Taxes on CAT Tax Credit</t>
  </si>
  <si>
    <t>Other</t>
  </si>
  <si>
    <t>Miscellaneous book tax differences</t>
  </si>
  <si>
    <t>Subtotal - p234</t>
  </si>
  <si>
    <t>Less FASB 109 Above if not separately removed</t>
  </si>
  <si>
    <t>All FAS 109 items excluded from formula rate</t>
  </si>
  <si>
    <t>Instructions for Account 190:</t>
  </si>
  <si>
    <t>1.  ADIT items related to Non-Electric Operations or which are not significant are excluded and directly assigned to Column C</t>
  </si>
  <si>
    <t>2.  ADIT items related only to Transmission are directly assigned to Column D</t>
  </si>
  <si>
    <t>3.  ADIT items related to Plant are included in Column E</t>
  </si>
  <si>
    <t>4.  ADIT items related to Labor are included in Column F</t>
  </si>
  <si>
    <t xml:space="preserve">5. Deferred income taxes arise when items are included in taxable income in different periods than they are included in book income and rates. </t>
  </si>
  <si>
    <t xml:space="preserve">       If the item giving rise to the ADIT is not included in the formula rate revenue requirement, the associated ADIT amount shall be excluded</t>
  </si>
  <si>
    <t>Total Without Exclusions</t>
  </si>
  <si>
    <t>ADIT- 282</t>
  </si>
  <si>
    <t>Depreciation - Liberalized Depreciation</t>
  </si>
  <si>
    <t>Other Plant related book tax temporary differences (e.g., repairs deductions, deductions for mixed service costs capitalized for book purposes, etc.)</t>
  </si>
  <si>
    <t>Instructions for Account 282:</t>
  </si>
  <si>
    <t>1.  ADIT items related only to Non-Electric Operations or Production are directly assigned to Column C</t>
  </si>
  <si>
    <t>3.  ADIT items related to Plant and not in Columns C &amp; D are included in Column E</t>
  </si>
  <si>
    <t>4.  ADIT items related to labor and not in Columns C &amp; D are included in Column F</t>
  </si>
  <si>
    <t>ADIT-283</t>
  </si>
  <si>
    <t>Capitalized Software</t>
  </si>
  <si>
    <t>Book tax difference related to software costs</t>
  </si>
  <si>
    <t>Reacquisition of Bonds</t>
  </si>
  <si>
    <t>Cost of reacquiring bonds deducted when incurred for tax purposes and being amortized over time for book purposes.  Removed below</t>
  </si>
  <si>
    <t>Pensions</t>
  </si>
  <si>
    <t>Phase-in Deferral</t>
  </si>
  <si>
    <t>FAS 109</t>
  </si>
  <si>
    <t>Pay Incentives</t>
  </si>
  <si>
    <t>Book/tax difference related to bonus accruals - tax deduction taken when bonuses are paid</t>
  </si>
  <si>
    <t>Primarily related to unrealized gains and losses on hedging transactions</t>
  </si>
  <si>
    <t xml:space="preserve">Subtotal - p277  </t>
  </si>
  <si>
    <t>Less: FASB 109 Above if not separately removed</t>
  </si>
  <si>
    <t>Less:  Reacquisition of Bonds</t>
  </si>
  <si>
    <t>Included in cost of debt</t>
  </si>
  <si>
    <t>Instructions for Account 283:</t>
  </si>
  <si>
    <t>Attachment H-15A</t>
  </si>
  <si>
    <t>Debit amounts are shown as positive and credit amounts are shown as negative.</t>
  </si>
  <si>
    <t>(a)</t>
  </si>
  <si>
    <t>(b)</t>
  </si>
  <si>
    <t>(c)</t>
  </si>
  <si>
    <t>(d)</t>
  </si>
  <si>
    <t>(e)</t>
  </si>
  <si>
    <t>(f)</t>
  </si>
  <si>
    <t>(g)</t>
  </si>
  <si>
    <t>(h)</t>
  </si>
  <si>
    <t>(i)</t>
  </si>
  <si>
    <t>(j)</t>
  </si>
  <si>
    <t>(k)</t>
  </si>
  <si>
    <t>(l)</t>
  </si>
  <si>
    <t>(m)</t>
  </si>
  <si>
    <t>(n)</t>
  </si>
  <si>
    <t>(o)</t>
  </si>
  <si>
    <t>(p)</t>
  </si>
  <si>
    <t>(q)</t>
  </si>
  <si>
    <t>Beginning Balance &amp; Monthly Changes</t>
  </si>
  <si>
    <t>Year</t>
  </si>
  <si>
    <t>Days in the Month</t>
  </si>
  <si>
    <t>Number of Days Remaining in Year After Current Month</t>
  </si>
  <si>
    <t>Total Days in the Projected Rate Year</t>
  </si>
  <si>
    <t>Weighting for Projection</t>
  </si>
  <si>
    <t>Beginning Balance/
Monthly Amount/ Ending Balance</t>
  </si>
  <si>
    <t>Plant Related</t>
  </si>
  <si>
    <t>Plant Allocation</t>
  </si>
  <si>
    <t>Plant Proration
(f) x (l)</t>
  </si>
  <si>
    <t>Labor Related</t>
  </si>
  <si>
    <t>Labor Allocation</t>
  </si>
  <si>
    <t>Labor Proration
(f) x (p)</t>
  </si>
  <si>
    <t>Total Transmission Prorated Amount</t>
  </si>
  <si>
    <t>January</t>
  </si>
  <si>
    <t>February</t>
  </si>
  <si>
    <t>March</t>
  </si>
  <si>
    <t>April</t>
  </si>
  <si>
    <t>May</t>
  </si>
  <si>
    <t>June</t>
  </si>
  <si>
    <t>July</t>
  </si>
  <si>
    <t>August</t>
  </si>
  <si>
    <t>September</t>
  </si>
  <si>
    <t>October</t>
  </si>
  <si>
    <t>November</t>
  </si>
  <si>
    <t>December</t>
  </si>
  <si>
    <t>Prorated Balance</t>
  </si>
  <si>
    <t>Account 282</t>
  </si>
  <si>
    <t>Transmission Proration
(d) x (f)</t>
  </si>
  <si>
    <t>December 31st balance Prorated Items (FF1 274.2.b less non Prorated Items)</t>
  </si>
  <si>
    <t>Attachment 1C - Accumulated Deferred Income Taxes (ADIT) Worksheet - December 31 of Prior Year</t>
  </si>
  <si>
    <t>Contains all ADIT Items - Prorated and Nonprorated.  Debit amounts are shown as positive and credit amounts are shown as negative.</t>
  </si>
  <si>
    <t>FIN 48 deferred tax offsets to reflect tax position uncertainties</t>
  </si>
  <si>
    <t>1.  ADIT items related to Non-Electric Operations or are not significant are excluded and directly assigned to Column C</t>
  </si>
  <si>
    <t>4.  ADIT items related to Labor and not in Columns C &amp; D are included in Column F</t>
  </si>
  <si>
    <t xml:space="preserve">5.  Deferred income taxes arise when items are included in taxable income in different periods than they are included in book income and rates. </t>
  </si>
  <si>
    <t>Only Transmission</t>
  </si>
  <si>
    <t>Miscellaneous book tax differences primarily related to non-utility activities</t>
  </si>
  <si>
    <t>Average Beginning and End of Year ADIT 283 and 190</t>
  </si>
  <si>
    <t>Actual Average and Prorated ADIT Balance</t>
  </si>
  <si>
    <t>Only Transmission Related</t>
  </si>
  <si>
    <t>Remove as included in cost of debt</t>
  </si>
  <si>
    <t xml:space="preserve">  </t>
  </si>
  <si>
    <t xml:space="preserve">Note:  The calculations for depreciation-related  ADIT in the projected net revenue requirement and the Annual True-Up calculation will be performed in accordance with Treasury regulation Section 1.167(l)-1(h)(6). </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</si>
  <si>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</si>
  <si>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</si>
  <si>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</si>
  <si>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</si>
  <si>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ADIT Proration</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</si>
  <si>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</si>
  <si>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</si>
  <si>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</si>
  <si>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</si>
  <si>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Month</t>
  </si>
  <si>
    <t xml:space="preserve">Number of Days Remaining in Year After Month's Accrual of Deferred Taxes </t>
  </si>
  <si>
    <t>Total Days in Projected Rate Year (Line 14, Col B)</t>
  </si>
  <si>
    <t>Proration Percentage (Attachment 1B - Col. C / Col. D)</t>
  </si>
  <si>
    <t>Projected Monthly Activity</t>
  </si>
  <si>
    <t>Prorated Amount  (E*F)</t>
  </si>
  <si>
    <t>Actual Monthly Activity</t>
  </si>
  <si>
    <t>Difference between projected monthly and actual monthly activity</t>
  </si>
  <si>
    <t>Preserve proration when actual monthly and projected monthly activity are either both increases or decreases.  
(See Note 1)</t>
  </si>
  <si>
    <t>Difference between projected and actual activity when actual and projected activity are either both increases or decreases.  
(See Note 1)</t>
  </si>
  <si>
    <t>Actual activity (Col I) when projected activity is an increase while actual activity is a decrease OR projected activity is a decrease while actual activity is an increase.
(See Note 1)</t>
  </si>
  <si>
    <t>Balance reflecting proration or averaging</t>
  </si>
  <si>
    <t>Wage and Salary</t>
  </si>
  <si>
    <t>Allocator</t>
  </si>
  <si>
    <t>Grand Total</t>
  </si>
  <si>
    <t xml:space="preserve">Note 1:  The calculations for accelerated depreciation-related ADIT in the projected net revenue requirement and the ATU Adjustment will be performed in accordance with the proration requirements of Treasury regulation Section 1.167(l)-1(h)(6). </t>
  </si>
  <si>
    <t>Account 282 (Note 1)</t>
  </si>
  <si>
    <t>Prorated Projected Balance (Line 27, H plus G)</t>
  </si>
  <si>
    <t>December 31st balance (FF1 274.2.b)</t>
  </si>
  <si>
    <t xml:space="preserve">                                                                                                                                                                                                                </t>
  </si>
  <si>
    <t>Page 263</t>
  </si>
  <si>
    <t>Allocated</t>
  </si>
  <si>
    <t>Other Taxes</t>
  </si>
  <si>
    <t>Col (i)</t>
  </si>
  <si>
    <t>Amount</t>
  </si>
  <si>
    <t>Direct Assign</t>
  </si>
  <si>
    <t>Real Estate</t>
  </si>
  <si>
    <t>DA</t>
  </si>
  <si>
    <t>Unused</t>
  </si>
  <si>
    <t>Total Direct Assign</t>
  </si>
  <si>
    <t>Net Plant Related</t>
  </si>
  <si>
    <t>Total Plant Related</t>
  </si>
  <si>
    <t xml:space="preserve">Wages &amp; Salary Allocator </t>
  </si>
  <si>
    <t>FICA</t>
  </si>
  <si>
    <t>Federal Unemployment</t>
  </si>
  <si>
    <t>Real Estate - General and Intangible</t>
  </si>
  <si>
    <t>Total Labor Related</t>
  </si>
  <si>
    <t>Total Included  (Lines 4 + 6 + 10)</t>
  </si>
  <si>
    <t>kWh Excise - Unbilled</t>
  </si>
  <si>
    <t>kWh Excise - Billed</t>
  </si>
  <si>
    <t>Unemployment Insurance</t>
  </si>
  <si>
    <t>CAT</t>
  </si>
  <si>
    <t>Subtotal, Excluded</t>
  </si>
  <si>
    <t>Total, Included and Excluded (Line 11 + Line 19)</t>
  </si>
  <si>
    <t>Total Other Taxes from p114.14.g</t>
  </si>
  <si>
    <t>Difference  (Line 20 - Line 21)</t>
  </si>
  <si>
    <t>Account 451</t>
  </si>
  <si>
    <t>p300, Footnotes</t>
  </si>
  <si>
    <t>Transmission Related - Direct Assigned</t>
  </si>
  <si>
    <t>Account 454 - Rent from Electric Property</t>
  </si>
  <si>
    <t>Attachment Fee revenue associated with transmission facilities (Note 2)</t>
  </si>
  <si>
    <t>Right of Way Leases - transmission related (Note 2)</t>
  </si>
  <si>
    <t>Transmission tower licenses for wireless services (Note 2)</t>
  </si>
  <si>
    <t>Other - transmission-related</t>
  </si>
  <si>
    <t>Account 456 - Other Electric Revenues</t>
  </si>
  <si>
    <t>DP&amp;L Schedule 1A</t>
  </si>
  <si>
    <t>Transmission maintenance and consulting services (Note 2)</t>
  </si>
  <si>
    <t>Revenues from Directly Assigned Transmission Facility Charges (Note 1)</t>
  </si>
  <si>
    <t>Licenses for intellectual property (Note 2)</t>
  </si>
  <si>
    <t>Other PJM-related revenues</t>
  </si>
  <si>
    <t>Account 456.1 -Transmission of Electricity for Others</t>
  </si>
  <si>
    <t xml:space="preserve">Net revenues associated with Network Integration Transmission Service (NITS) for which the load is not included in the divisor on Appendix A (difference between NITS credits from PJM and PJM NITS charges paid by Transmission Owner) </t>
  </si>
  <si>
    <t>Point to Point Service revenues for which the load is not included in the divisor in Appendix A (Note 3)</t>
  </si>
  <si>
    <t>Gross Revenue Credits</t>
  </si>
  <si>
    <t>Less: Sharing of Certain Revenues (Note 2)</t>
  </si>
  <si>
    <t>Total Revenue Credits</t>
  </si>
  <si>
    <t>Revenue Credit</t>
  </si>
  <si>
    <t>Note 1</t>
  </si>
  <si>
    <t xml:space="preserve">Only if the revenue requirement associated with Directly Assigned Transmission Facilities are included in the formula are the associated revenues also included in the formula.  </t>
  </si>
  <si>
    <t>Note 2</t>
  </si>
  <si>
    <t>Note 3</t>
  </si>
  <si>
    <t>DP&amp;L share of Schedule 7, Firm P2P Border Rate revenue</t>
  </si>
  <si>
    <t>Plant Investment Support [exclude any Asset Retirement Obligations]</t>
  </si>
  <si>
    <t>Previous Year</t>
  </si>
  <si>
    <t>Line #s</t>
  </si>
  <si>
    <t>Descriptions</t>
  </si>
  <si>
    <t>FF1 Page # or Instructions</t>
  </si>
  <si>
    <t>FERC Account</t>
  </si>
  <si>
    <t xml:space="preserve">Form 1Dec </t>
  </si>
  <si>
    <t>Jan</t>
  </si>
  <si>
    <t>Feb</t>
  </si>
  <si>
    <t>Mar</t>
  </si>
  <si>
    <t>Apr</t>
  </si>
  <si>
    <t>Jun</t>
  </si>
  <si>
    <t>Jul</t>
  </si>
  <si>
    <t>Aug</t>
  </si>
  <si>
    <t>Sep</t>
  </si>
  <si>
    <t>Oct</t>
  </si>
  <si>
    <t>Nov</t>
  </si>
  <si>
    <t>Form 1 Dec</t>
  </si>
  <si>
    <t>Average</t>
  </si>
  <si>
    <t>Non-electric  Portion</t>
  </si>
  <si>
    <t>Electric Plant in Service (Excludes Asset Retirement Costs - ARC)</t>
  </si>
  <si>
    <t>Common Plant in Service - Electric</t>
  </si>
  <si>
    <t>p356</t>
  </si>
  <si>
    <t>Accumulated Common Plant Depreciation - Electric</t>
  </si>
  <si>
    <t>Accumulated Common Amortization - Electric</t>
  </si>
  <si>
    <t>Transmission Plant in Service ( Excludes Asset Retirement Costs - ARC)</t>
  </si>
  <si>
    <t>350-359</t>
  </si>
  <si>
    <t>General ( Excludes Asset Retirement Costs - ARC)</t>
  </si>
  <si>
    <t>389-399</t>
  </si>
  <si>
    <t>301-303</t>
  </si>
  <si>
    <t>Accumulated Common Plant Depreciation &amp; Amortization - Electric</t>
  </si>
  <si>
    <t>Wages &amp; Salary</t>
  </si>
  <si>
    <t>End of Year</t>
  </si>
  <si>
    <t>Total O&amp;M Wage Expense</t>
  </si>
  <si>
    <t>Total A&amp;G Wages Expense</t>
  </si>
  <si>
    <t>Transmission Wages</t>
  </si>
  <si>
    <t>Transmission Property Held for Future Use</t>
  </si>
  <si>
    <t>Beginning Year Balance</t>
  </si>
  <si>
    <t xml:space="preserve">End of Year </t>
  </si>
  <si>
    <t>Undistributed Stores Exp</t>
  </si>
  <si>
    <t>O&amp;M Expenses</t>
  </si>
  <si>
    <t>p.321.112.b</t>
  </si>
  <si>
    <t>560-574</t>
  </si>
  <si>
    <t>Transmission of Electricity by Others</t>
  </si>
  <si>
    <t>p321.96.b</t>
  </si>
  <si>
    <t>Scheduling, System Control and Dispatch Services</t>
  </si>
  <si>
    <t>p321.88.b</t>
  </si>
  <si>
    <t>Total of Accounts 565 and 561.4</t>
  </si>
  <si>
    <t>Property  Insurance Expenses</t>
  </si>
  <si>
    <t xml:space="preserve">    Property Insurance</t>
  </si>
  <si>
    <t>Adjustments to A &amp; G Expense</t>
  </si>
  <si>
    <t xml:space="preserve">Total A&amp;G Expenses </t>
  </si>
  <si>
    <t>920-935</t>
  </si>
  <si>
    <t xml:space="preserve">         </t>
  </si>
  <si>
    <t>Service Company and DP&amp;L A&amp;G Directly Assigned to Transmission</t>
  </si>
  <si>
    <t>Service Company and DP&amp;L A&amp;G Directly Assigned to Distribution and Transmission</t>
  </si>
  <si>
    <t>Regulatory Expense Related to Transmission Cost Support</t>
  </si>
  <si>
    <t>Regulatory Commission Expenses</t>
  </si>
  <si>
    <t>Regulatory Commission Expenses - Transmission Related</t>
  </si>
  <si>
    <t>EPRI Dues</t>
  </si>
  <si>
    <t>p352-353</t>
  </si>
  <si>
    <t>Depreciation and Amortization Expense</t>
  </si>
  <si>
    <t>Depreciation-Transmission</t>
  </si>
  <si>
    <t>p336.7.f</t>
  </si>
  <si>
    <t>Depreciation-General &amp; Common</t>
  </si>
  <si>
    <t>p336.10&amp;11.f</t>
  </si>
  <si>
    <t>Amortization-Intangible</t>
  </si>
  <si>
    <t>p336.1.f</t>
  </si>
  <si>
    <t>Taxes Other Than Income Taxes</t>
  </si>
  <si>
    <t>Transmission Related</t>
  </si>
  <si>
    <t xml:space="preserve">Non-Transmission </t>
  </si>
  <si>
    <t>Real Estate Taxes - Directly Assigned to Transmission</t>
  </si>
  <si>
    <t>p263, fn</t>
  </si>
  <si>
    <t>FICA - Insurance Contribution</t>
  </si>
  <si>
    <t xml:space="preserve">Return \ Capitalization - include all amounts as positive values </t>
  </si>
  <si>
    <t xml:space="preserve">Beginning of Year </t>
  </si>
  <si>
    <t>Long-term Interest Expense</t>
  </si>
  <si>
    <t>p117.62.c</t>
  </si>
  <si>
    <t>Amortization of Debt Discount and Expense</t>
  </si>
  <si>
    <t>p117.63.c</t>
  </si>
  <si>
    <t>Amortization of Loss on Reacquired Debt</t>
  </si>
  <si>
    <t>p117.64.c</t>
  </si>
  <si>
    <t>Amortization of Debt Premium</t>
  </si>
  <si>
    <t>p117.65.c</t>
  </si>
  <si>
    <t>Amortization of Gain on Reacquired Debt</t>
  </si>
  <si>
    <t>p117.66.c</t>
  </si>
  <si>
    <t>Interest on Debt to Associated Companies</t>
  </si>
  <si>
    <t>p117.67.c</t>
  </si>
  <si>
    <t>Total Long-term Interest Expense</t>
  </si>
  <si>
    <t>p118.29.c</t>
  </si>
  <si>
    <t>NA</t>
  </si>
  <si>
    <t>p112.16.c,d</t>
  </si>
  <si>
    <t>201-219</t>
  </si>
  <si>
    <t>Accumulated Other Comprehensive Income</t>
  </si>
  <si>
    <t>p112.15.c,d</t>
  </si>
  <si>
    <t>Unappropriated Undistributed Subsidiary Earnings</t>
  </si>
  <si>
    <t>221-224</t>
  </si>
  <si>
    <t xml:space="preserve">Unamortized Loss on Reacquired Debt </t>
  </si>
  <si>
    <t>p111.81.c,d</t>
  </si>
  <si>
    <t>Unamortized Premium</t>
  </si>
  <si>
    <t>p112.22.d</t>
  </si>
  <si>
    <t>Unamortized Discount</t>
  </si>
  <si>
    <t>p112.23.d</t>
  </si>
  <si>
    <t>Unamortized Gain on Reacquired Debt</t>
  </si>
  <si>
    <t>p113.61.c,d</t>
  </si>
  <si>
    <t>p277.3.k and 277.4.k</t>
  </si>
  <si>
    <t>190 and 283</t>
  </si>
  <si>
    <t>Long-term Portion of Derivative Assets - Hedges</t>
  </si>
  <si>
    <t>Derivative Instrument Liabilities - Hedges</t>
  </si>
  <si>
    <t>p112.3.c,d</t>
  </si>
  <si>
    <t>Multi-State Workpaper</t>
  </si>
  <si>
    <t>State 1</t>
  </si>
  <si>
    <t>State 2</t>
  </si>
  <si>
    <t>State 3</t>
  </si>
  <si>
    <t>Ohio</t>
  </si>
  <si>
    <t>Average Municipality Income Tax Rate</t>
  </si>
  <si>
    <t>Miscellaneous Income Tax Items</t>
  </si>
  <si>
    <t>Amortization of Investment Tax Credits - General</t>
  </si>
  <si>
    <t>Amortization of Investment Tax Credits - Transmission</t>
  </si>
  <si>
    <t>Equity AFUDC Portion of Transmission Depreciation Expense</t>
  </si>
  <si>
    <t xml:space="preserve"> Excluded Transmission Facilities</t>
  </si>
  <si>
    <t xml:space="preserve">Dec </t>
  </si>
  <si>
    <t>PJM Load Cost Support</t>
  </si>
  <si>
    <t>1 CP Peak in MWs</t>
  </si>
  <si>
    <t>Network Zonal Service Rate</t>
  </si>
  <si>
    <t>1 CP Demand</t>
  </si>
  <si>
    <t>PJM Data</t>
  </si>
  <si>
    <t>Project X</t>
  </si>
  <si>
    <t>Project Y</t>
  </si>
  <si>
    <t>Project Z</t>
  </si>
  <si>
    <t>Beginning of Year Balance of Unamortized Abandoned Transmission Project Costs</t>
  </si>
  <si>
    <t>Per FERC Order</t>
  </si>
  <si>
    <t>Remaining Amortization Period in Years</t>
  </si>
  <si>
    <t xml:space="preserve">Amortization of Property Losses, Unrecovered Plant and Regulatory Study Costs </t>
  </si>
  <si>
    <t>Ending Balance of Unamortized Transmission Projects</t>
  </si>
  <si>
    <t>Average Balance of Unamortized Abandoned Transmission Projects</t>
  </si>
  <si>
    <t>Only costs that have been approved for recovery by the Commission are included</t>
  </si>
  <si>
    <t xml:space="preserve">Docket No. </t>
  </si>
  <si>
    <t>Docket No.</t>
  </si>
  <si>
    <t>Excess Accumulated Deferred Income Taxes</t>
  </si>
  <si>
    <t>Amortization</t>
  </si>
  <si>
    <t>Note:  Only include items pertaining to transmission business</t>
  </si>
  <si>
    <t>Deferred Credits - Direct Assign</t>
  </si>
  <si>
    <t>Customer Advances for Construction</t>
  </si>
  <si>
    <t>p113.56.c</t>
  </si>
  <si>
    <t>Included Items</t>
  </si>
  <si>
    <t>(Attachment 10)</t>
  </si>
  <si>
    <t>Plant in Service, Accumulated Depreciation and Accumulated Deferred Income Taxes - Projects with ROE Adder</t>
  </si>
  <si>
    <t xml:space="preserve">Year </t>
  </si>
  <si>
    <t>Plant in Service</t>
  </si>
  <si>
    <t>Plant in Service and Accumulated Depreciation - Schedule 12 Projects</t>
  </si>
  <si>
    <t>Average or Annual</t>
  </si>
  <si>
    <t>Marysville Reconductoring and Substation</t>
  </si>
  <si>
    <t>Plant in Service/CWIP</t>
  </si>
  <si>
    <t>206/216</t>
  </si>
  <si>
    <t>Depreciation</t>
  </si>
  <si>
    <t>Current Year</t>
  </si>
  <si>
    <t>Dec</t>
  </si>
  <si>
    <t>Projects</t>
  </si>
  <si>
    <t>Project 15</t>
  </si>
  <si>
    <t>Project 16</t>
  </si>
  <si>
    <t>Project 17</t>
  </si>
  <si>
    <t>Project 18</t>
  </si>
  <si>
    <t>Project 19</t>
  </si>
  <si>
    <t>Project 20</t>
  </si>
  <si>
    <t>Project 21</t>
  </si>
  <si>
    <t>Project 22</t>
  </si>
  <si>
    <t>Project 23</t>
  </si>
  <si>
    <t>Project 24</t>
  </si>
  <si>
    <t>Note A - Source of information is accompanying CWIP in Rate Base Report required pursuant to the Attachment H-15B, Formula Rate Implementation Protocols</t>
  </si>
  <si>
    <t>The NITS True-Up Adjustment component of the Formula Rate for each Rate Year shall be determined as follows:</t>
  </si>
  <si>
    <t>In accordance with its formula rate protocols, DP&amp;L shall recalculate an adjusted Annual Transmission</t>
  </si>
  <si>
    <t>Revenue Requirement for the previous calendar year based on its actual costs as reflected in its Form No. 1 and its</t>
  </si>
  <si>
    <t>books and records for that calendar year, consistent with FERC accounting policies.</t>
  </si>
  <si>
    <t>(ii)</t>
  </si>
  <si>
    <t>(Annual True-Up Adjustment Before Interest).</t>
  </si>
  <si>
    <t xml:space="preserve">DP&amp;L shall determine the Annual True-Up Adjustment as follows: </t>
  </si>
  <si>
    <t>(iii)</t>
  </si>
  <si>
    <t xml:space="preserve">Determine the difference between the actual Net Transmission Revenue Requirement as determined in paragraph (i) above, </t>
  </si>
  <si>
    <t xml:space="preserve"> and actual revenues based upon the projected ATRR for the previous calendar year, the resulting rate and actual peak demand</t>
  </si>
  <si>
    <t>Multiply the Annual True-Up Adjustment  Before Interest by (1+i)^24 months</t>
  </si>
  <si>
    <t xml:space="preserve">Where: </t>
  </si>
  <si>
    <t>i =</t>
  </si>
  <si>
    <t>Average of the monthly rates from the middle of the Rate Year for which the Annual True-up Adjustment</t>
  </si>
  <si>
    <t xml:space="preserve"> is being calculated through the middle of the year in which the Annual True-up Adjustment is included in rates (24 months)</t>
  </si>
  <si>
    <t>The interest rates are initially estimated and then trued-up to actual</t>
  </si>
  <si>
    <t>To the extent possible each input to the Formula Rate used to calculate the actual Annual Transmission Revenue</t>
  </si>
  <si>
    <t>Requirement included in the Annual True-Up Adjustment either will be taken directly from the FERC Form No. 1 or will be</t>
  </si>
  <si>
    <t>reconcilable to the FERC Form 1 by the application of clearly identified and supported information.  If the reconciliation</t>
  </si>
  <si>
    <t>is provided through a worksheet included in the filed Formula Rate template, the inputs to the worksheet must meet this</t>
  </si>
  <si>
    <t>transparency standard, and doing so will satisfy this transparency requirement for the amounts that are output from the</t>
  </si>
  <si>
    <t>worksheet and input to the main body of the Formula Rate.</t>
  </si>
  <si>
    <t xml:space="preserve">Line </t>
  </si>
  <si>
    <t>Estimated</t>
  </si>
  <si>
    <t>Actual</t>
  </si>
  <si>
    <t>Interest Rate</t>
  </si>
  <si>
    <t>Difference</t>
  </si>
  <si>
    <t>NITS ATRR based on actual costs included for the previous calendar year but excludes the true-up adjustment.</t>
  </si>
  <si>
    <t>NITS Revenues based upon the projected ATRR for the previous calendar year and excluding any true-up adjustment included therein</t>
  </si>
  <si>
    <t>Difference  (A-B)</t>
  </si>
  <si>
    <t>Future Value Factor (1+i)^24</t>
  </si>
  <si>
    <t>True-up Adjustment   (C*D)</t>
  </si>
  <si>
    <t>ATU Adjustment with Interest Rate True-up</t>
  </si>
  <si>
    <t>Where:</t>
  </si>
  <si>
    <t>i = average interest rate as calculated below</t>
  </si>
  <si>
    <t>Interest on Amount of Refunds or Surcharges</t>
  </si>
  <si>
    <t xml:space="preserve">Actual </t>
  </si>
  <si>
    <t>Monthly</t>
  </si>
  <si>
    <t>Year 1</t>
  </si>
  <si>
    <t>Year 2</t>
  </si>
  <si>
    <t>Year 3</t>
  </si>
  <si>
    <t>The Schedule 12 True-Up Adjustment component of the Formula Rate for each Rate Year shall be determined as follows:</t>
  </si>
  <si>
    <t>Line #</t>
  </si>
  <si>
    <t>Schedule 12 ATRR based on actual costs included for the previous calendar year but excludes the true-up adjustment.</t>
  </si>
  <si>
    <t>Schedule 12 revenues based upon the projected ATRR for the previous calendar year and excluding any true-up adjustment included therein</t>
  </si>
  <si>
    <t>ROE Adder</t>
  </si>
  <si>
    <t>Project 1</t>
  </si>
  <si>
    <t>Project 2</t>
  </si>
  <si>
    <t>Project 3</t>
  </si>
  <si>
    <t>Project 4</t>
  </si>
  <si>
    <t>Project 5</t>
  </si>
  <si>
    <t>Project 6</t>
  </si>
  <si>
    <t>Project 7</t>
  </si>
  <si>
    <t>Project 8</t>
  </si>
  <si>
    <t>Project 9</t>
  </si>
  <si>
    <t>Project 10</t>
  </si>
  <si>
    <t>Name</t>
  </si>
  <si>
    <t>Note A</t>
  </si>
  <si>
    <t>Equity Capitalization Ratio</t>
  </si>
  <si>
    <t>ROE Adder Value</t>
  </si>
  <si>
    <t>Note A: FERC Authorization - Order in Docket No.</t>
  </si>
  <si>
    <t>Revenue Requirement</t>
  </si>
  <si>
    <t>Marysville Substation and Line Reconductoring</t>
  </si>
  <si>
    <t>Schedule 12 Designation</t>
  </si>
  <si>
    <t>b1570</t>
  </si>
  <si>
    <t>Net Plant Carrying Charge w/o Depreciation</t>
  </si>
  <si>
    <t>Revenue Requirement w/o Depreciation and ROE Adder</t>
  </si>
  <si>
    <t>ROE Adder (if applicable)</t>
  </si>
  <si>
    <t>Attachment 7A</t>
  </si>
  <si>
    <t>Total Revenue Requirement</t>
  </si>
  <si>
    <t>Schedule 12 Annual True-Up Adjustment</t>
  </si>
  <si>
    <t>(Note A)</t>
  </si>
  <si>
    <t>Total Schedule 12 Revenue Requirement</t>
  </si>
  <si>
    <t xml:space="preserve"> (To Appendix A, Line 193)</t>
  </si>
  <si>
    <t>Allocation Percentage to Other Than the Dayton Zone</t>
  </si>
  <si>
    <t>Allocation to Other Than the Dayton Zone</t>
  </si>
  <si>
    <t>Note A:  Schedule 12 Annual True-up Adjustment allocated to projects based upon Total Revenue Requirement</t>
  </si>
  <si>
    <t>Attachment 8 - Depreciation and Amortization Rates</t>
  </si>
  <si>
    <t>Description</t>
  </si>
  <si>
    <t>Rate (Note 1)</t>
  </si>
  <si>
    <t>Transmission (based upon data as of June 2019)</t>
  </si>
  <si>
    <t>Land Rights</t>
  </si>
  <si>
    <t>N/A</t>
  </si>
  <si>
    <t>Structures and Improvements</t>
  </si>
  <si>
    <t>Station Equipment</t>
  </si>
  <si>
    <t>Towers and Fixtures</t>
  </si>
  <si>
    <t>Poles and Fixtures</t>
  </si>
  <si>
    <t>Overhead Conductors &amp; Devices</t>
  </si>
  <si>
    <t>Underground Conduit</t>
  </si>
  <si>
    <t>Underground Conductors &amp; Devices</t>
  </si>
  <si>
    <t>Roads and Trails</t>
  </si>
  <si>
    <t>Franchises and Consents</t>
  </si>
  <si>
    <t>Intangible Plant</t>
  </si>
  <si>
    <t>Office Furniture and Equipment</t>
  </si>
  <si>
    <t>Computer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</si>
  <si>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</si>
  <si>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</si>
  <si>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</si>
  <si>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</si>
  <si>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</si>
  <si>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</si>
  <si>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</si>
  <si>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</si>
  <si>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</si>
  <si>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</si>
  <si>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Note 1:  The Dayton Power and Light Company's transmission depreciation rates may not change absent Commission authorization</t>
  </si>
  <si>
    <t xml:space="preserve"> General and intangible depreciation and amortization rates are as approved by the Public Utilities Commission of Ohio</t>
  </si>
  <si>
    <t>Resulting from Income Tax Rate Changes (Note D)</t>
  </si>
  <si>
    <t>Transmission Allocation Factors (Note A)</t>
  </si>
  <si>
    <t>Balance at December 31, 2019</t>
  </si>
  <si>
    <t>2020 Amortization (Note B)</t>
  </si>
  <si>
    <t xml:space="preserve">   Vacation Pay</t>
  </si>
  <si>
    <t xml:space="preserve">   Post Retirement Benefits</t>
  </si>
  <si>
    <t xml:space="preserve">   Deferred Compensation</t>
  </si>
  <si>
    <t xml:space="preserve">   FAS 109 - Electric</t>
  </si>
  <si>
    <t xml:space="preserve">   Union Disability</t>
  </si>
  <si>
    <t xml:space="preserve">   Fed Dfrd Tax on Future Tax Impacts</t>
  </si>
  <si>
    <t xml:space="preserve">   Employee Stock Plans</t>
  </si>
  <si>
    <t xml:space="preserve">   Bad Debts Expense</t>
  </si>
  <si>
    <t xml:space="preserve">   State Income Tax Expense</t>
  </si>
  <si>
    <t xml:space="preserve">   Capitalized Interest Income</t>
  </si>
  <si>
    <t xml:space="preserve">   Deferred Federal Tax on CAT Tax Credit</t>
  </si>
  <si>
    <t xml:space="preserve">   Other</t>
  </si>
  <si>
    <t>Various</t>
  </si>
  <si>
    <t>Liberalized Depreciation - Protected</t>
  </si>
  <si>
    <t>Regulatory Assets/Liabilities</t>
  </si>
  <si>
    <t>Categories of Items</t>
  </si>
  <si>
    <t>Energy Suppliers</t>
  </si>
  <si>
    <t>Calendar Year</t>
  </si>
  <si>
    <t>Line</t>
  </si>
  <si>
    <t>Impact of</t>
  </si>
  <si>
    <t>No.</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</si>
  <si>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</si>
  <si>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</si>
  <si>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</si>
  <si>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</si>
  <si>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</si>
  <si>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</si>
  <si>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</si>
  <si>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</si>
  <si>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</si>
  <si>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</si>
  <si>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Number of Months of Interest</t>
  </si>
  <si>
    <t>Note B</t>
  </si>
  <si>
    <t>Interest on Correction</t>
  </si>
  <si>
    <t>Line 7 x 8 x 9</t>
  </si>
  <si>
    <t>Sum of Corrections Plus Interest</t>
  </si>
  <si>
    <t>Line 7 + 10</t>
  </si>
  <si>
    <t>Notes:</t>
  </si>
  <si>
    <t>The interest rate on corrections will be the average monthly FERC interest rate for the period from the beginning of the year being corrected through the end of the rate year where the correction is reflected in rates - similar to how interest on the ATU Adjustment is computed.</t>
  </si>
  <si>
    <t>The number of months in which interest is computed is from the middle of the rate year in which the correction is needed to the middle of the rate year where the correction is reflected in rates - - similar to how interest on the ATU Adjustment is computed.</t>
  </si>
  <si>
    <t>Schedule 1A</t>
  </si>
  <si>
    <t>FERC Form 1</t>
  </si>
  <si>
    <t>Account</t>
  </si>
  <si>
    <t>Page</t>
  </si>
  <si>
    <t xml:space="preserve">No. </t>
  </si>
  <si>
    <t>Load Dispatch - Reliability</t>
  </si>
  <si>
    <t>321.85b</t>
  </si>
  <si>
    <t>Load Dispatch - Monitor and Operate Transmission System</t>
  </si>
  <si>
    <t>321.86b</t>
  </si>
  <si>
    <t>Load Dispatch - Transmission Services and Scheduling</t>
  </si>
  <si>
    <t>321.87b</t>
  </si>
  <si>
    <t>Revenue Credit from Border Rate Transactions</t>
  </si>
  <si>
    <t>Data provided by PJM</t>
  </si>
  <si>
    <t>MWHs</t>
  </si>
  <si>
    <t>From 2020 LT Forecast Report to PUCO, page FE-D1, reporting 2019 data</t>
  </si>
  <si>
    <t>Schedule 1A Rate per MWH</t>
  </si>
  <si>
    <t>(Attachment 9, Line 51)</t>
  </si>
  <si>
    <t>Long Term Debt to Determine Debt Rate</t>
  </si>
  <si>
    <t>No Allowance</t>
  </si>
  <si>
    <t>Non-Pension and Non-Other Post Employment Benefits</t>
  </si>
  <si>
    <t>Other - Exclude CIAC</t>
  </si>
  <si>
    <t>Total Account 454</t>
  </si>
  <si>
    <t>Total Account 456</t>
  </si>
  <si>
    <t>Total Account 456.1</t>
  </si>
  <si>
    <t>Revenues associated with lines 2, 3, 4, 8 and 10 (Note 2)</t>
  </si>
  <si>
    <t>Revenues from DP&amp;L Schedule 12 Projects</t>
  </si>
  <si>
    <t xml:space="preserve">Rate Year = </t>
  </si>
  <si>
    <t>Assigned to Construction - Transmission Portion</t>
  </si>
  <si>
    <t>(Direct Assigned)</t>
  </si>
  <si>
    <t>January through December</t>
  </si>
  <si>
    <t>Project 12</t>
  </si>
  <si>
    <t>Project 13</t>
  </si>
  <si>
    <t>Project 14</t>
  </si>
  <si>
    <t>Miscellaneous Liabilities</t>
  </si>
  <si>
    <t>Amount of transmission plant excluded from the ATRR.  The amounts are shown on Attachment 4</t>
  </si>
  <si>
    <t xml:space="preserve">ROE Adder authorized by the Commission for projects included in Attachment 7A, which contains the docket in which ROE Adder was authorized by FERC.  </t>
  </si>
  <si>
    <t>Costs associated with DP&amp;L’s integrated transmission system, including all transmission facilities in place as of the 2001 FERC Integration study (Docket ER01-2307), shall be recoverable under this formula rate template.  After that date, Step-up facilities with a lower-voltage side operating at below 69 kV shall be excluded.  Step-down transformers with a lower-voltage side operating at below 69kV will be excluded even if within a transmission substation.  Integrated high-side breakers, integrated lines operating at or above 69 kV and other integrated transmission facilities that are within a substation shall be recoverable under the formula rate template.  Transmission Owner Interconnection Facilities, when constructed pursuant to a Large or Small Generator Interconnection Agreement and paid for by the interconnecting entity, are not to be recovered under this formula rate template, which may be effectuated by crediting amounts received from the interconnecting entity to the formula rate.</t>
  </si>
  <si>
    <t>U</t>
  </si>
  <si>
    <t>FERC approval is required for the amortization of any Regulatory Asset through charges calculated pursuant to the template</t>
  </si>
  <si>
    <t>Includes 100% of EPRI membership dues and lobbying expenses charged to A&amp;G which are excluded from the Annual Transmission Revenue Requirement ("ATRR")</t>
  </si>
  <si>
    <t>V</t>
  </si>
  <si>
    <t>W</t>
  </si>
  <si>
    <t>Customers have the right to challenge the inclusion of distribution-related costs to the extent inclusion of those costs would result in a disproportionate allocation of costs to transmission.  Such right shall be exercised pursuant to the Protocols, Attachment H-15B</t>
  </si>
  <si>
    <t>Includes the original cost of transmission electric plant (excluding land and land rights) owned and held by DP&amp;L for future use of electric service under a definite plan for such use and land and land rights held by DP&amp;L for future use of electric service under a plan for such use</t>
  </si>
  <si>
    <t>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t>
  </si>
  <si>
    <t xml:space="preserve">    Less EPRI Dues and Lobbying Expenses</t>
  </si>
  <si>
    <t>Regulatory Commission Expense - Transmission</t>
  </si>
  <si>
    <t xml:space="preserve">Coincident peak demand computed as provided for in Section 34.1 of the PJM OATT.  The PJM determined coincident peak demand will not be revised or updated in the Annual True-Up (ATU) Adjustment, as the ATU Adjustment compares the applicable calendar year actual revenue requirement to the actual revenue (based upon the projected revenue requirement). </t>
  </si>
  <si>
    <t xml:space="preserve">               Unamortized Discount</t>
  </si>
  <si>
    <t xml:space="preserve">               ADIT Associated with Gain or Loss</t>
  </si>
  <si>
    <t>ADIT Associated with Gain or Loss on Reacquired Debt</t>
  </si>
  <si>
    <t>Unamortized Debt Expense</t>
  </si>
  <si>
    <t>p111.69 c.d.</t>
  </si>
  <si>
    <t xml:space="preserve">      Add: Unamortized  Debt Expense </t>
  </si>
  <si>
    <t>Excluded A&amp;G Items</t>
  </si>
  <si>
    <t>Lobbying Expenses</t>
  </si>
  <si>
    <t>A&amp;G</t>
  </si>
  <si>
    <t>Internal data</t>
  </si>
  <si>
    <t>Capital Structure</t>
  </si>
  <si>
    <t>Long-term Debt</t>
  </si>
  <si>
    <t>No production-related costs or expenses or renewable energy credits will be included in A&amp;G allocated to transmission</t>
  </si>
  <si>
    <t>Prepayments - Total</t>
  </si>
  <si>
    <t>Net Prepayments</t>
  </si>
  <si>
    <t>Payroll Accrual</t>
  </si>
  <si>
    <t>Wage</t>
  </si>
  <si>
    <t>Plant</t>
  </si>
  <si>
    <t>Benefits</t>
  </si>
  <si>
    <t>Total Transmission Allocation</t>
  </si>
  <si>
    <t>Administrative and General Expense Detail</t>
  </si>
  <si>
    <t>Distribution</t>
  </si>
  <si>
    <t>Administrative and general salaries</t>
  </si>
  <si>
    <t>Office supplies and expenses</t>
  </si>
  <si>
    <t>Administrative expense transferred</t>
  </si>
  <si>
    <t>Outside services employed</t>
  </si>
  <si>
    <t>Property insurance</t>
  </si>
  <si>
    <t>Injuries and damages</t>
  </si>
  <si>
    <t>Employee pension and benefits</t>
  </si>
  <si>
    <t>Franchise requirements</t>
  </si>
  <si>
    <t>Regulatory commission expenses</t>
  </si>
  <si>
    <t>Duplicate charges</t>
  </si>
  <si>
    <t>General advertising</t>
  </si>
  <si>
    <t>Miscellaneous general expenses</t>
  </si>
  <si>
    <t>Rents</t>
  </si>
  <si>
    <t>Maintenance of general plant</t>
  </si>
  <si>
    <t>West Milton - Salem/Englewood  6635/6679</t>
  </si>
  <si>
    <t>Yes</t>
  </si>
  <si>
    <t>West Milton Substation</t>
  </si>
  <si>
    <t>West Milton - Eldean</t>
  </si>
  <si>
    <t>Bath - Trebein 138kV - 13810</t>
  </si>
  <si>
    <t>Bath Substation</t>
  </si>
  <si>
    <t>Trebein Substation</t>
  </si>
  <si>
    <t>Marysville - New Sub</t>
  </si>
  <si>
    <t>Marysville - Reconductor 6619</t>
  </si>
  <si>
    <t>System Reactors for High Voltage Control</t>
  </si>
  <si>
    <t>Gebhardt Substation</t>
  </si>
  <si>
    <t>To Be Allocated Via the Wage Allocator</t>
  </si>
  <si>
    <t>Directly Assigned to:</t>
  </si>
  <si>
    <t>Customer Deposits and Advances for Construction</t>
  </si>
  <si>
    <t>Customer Deposits</t>
  </si>
  <si>
    <t>p112.41.c</t>
  </si>
  <si>
    <t>(A)</t>
  </si>
  <si>
    <t>(B)</t>
  </si>
  <si>
    <t>(C)</t>
  </si>
  <si>
    <t>(D)</t>
  </si>
  <si>
    <t>(E)</t>
  </si>
  <si>
    <t>(F)</t>
  </si>
  <si>
    <t>(G)</t>
  </si>
  <si>
    <t>(H)</t>
  </si>
  <si>
    <t>(I)</t>
  </si>
  <si>
    <t>(J)</t>
  </si>
  <si>
    <t>(K)</t>
  </si>
  <si>
    <t>(L)</t>
  </si>
  <si>
    <t>(M)</t>
  </si>
  <si>
    <t>(N)</t>
  </si>
  <si>
    <t>(O)</t>
  </si>
  <si>
    <t>(P)</t>
  </si>
  <si>
    <t>(Q)</t>
  </si>
  <si>
    <t>(R)</t>
  </si>
  <si>
    <t>(S)</t>
  </si>
  <si>
    <t>(T)</t>
  </si>
  <si>
    <t>(U)</t>
  </si>
  <si>
    <t>(V)</t>
  </si>
  <si>
    <t>(W)</t>
  </si>
  <si>
    <t>(X)</t>
  </si>
  <si>
    <t>(Y)</t>
  </si>
  <si>
    <t>ADIT Balances Prior to Remeasurement</t>
  </si>
  <si>
    <t>ADIT Balances After Remeasurement (Note F)</t>
  </si>
  <si>
    <t>Deficient or Excess Accumulated Deferred Taxes at December 31, 2017</t>
  </si>
  <si>
    <t>Adjustments After Remeasurement</t>
  </si>
  <si>
    <t>Adjusted Deficient or Excess Accumulated Deferred Taxes</t>
  </si>
  <si>
    <t>Allocated to Transmission</t>
  </si>
  <si>
    <t>Protected (P) Unprotected Property (UP)  Unprotected Other (UO) (Note B)</t>
  </si>
  <si>
    <t>Amortization Through December 31, 2019</t>
  </si>
  <si>
    <t>Balance at December 31, 2020</t>
  </si>
  <si>
    <t>2021 Amortization (Note B)</t>
  </si>
  <si>
    <t>Balance at December 31, 2021 (Note B)</t>
  </si>
  <si>
    <t>2022 Amortization (Note B)</t>
  </si>
  <si>
    <t>Balance at December 31, 2022 (Note B)</t>
  </si>
  <si>
    <t>2023 Amortization (Note B)</t>
  </si>
  <si>
    <t>Balance at December 31, 2023 (Note B)</t>
  </si>
  <si>
    <t>2024 Amortization (Note B)</t>
  </si>
  <si>
    <t>Balance at December 31, 2024 (Note B)</t>
  </si>
  <si>
    <t>2025 Amortization (Note B)</t>
  </si>
  <si>
    <t>Balance at December 31, 2025 (Note B)</t>
  </si>
  <si>
    <t>2026 Amortization (Note B)</t>
  </si>
  <si>
    <t>Balance at December 31, 2026 (Note B)</t>
  </si>
  <si>
    <t>Deficient Deferred Income Taxes - amortized to 410.1</t>
  </si>
  <si>
    <t>FERC Account 190</t>
  </si>
  <si>
    <t>UO</t>
  </si>
  <si>
    <t>Total FERC Account 190</t>
  </si>
  <si>
    <t>FERC Account 282</t>
  </si>
  <si>
    <t>TBD</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</si>
  <si>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</si>
  <si>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</si>
  <si>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</si>
  <si>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</si>
  <si>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</si>
  <si>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</si>
  <si>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</si>
  <si>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</si>
  <si>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Other (Note D)</t>
  </si>
  <si>
    <t>UP</t>
  </si>
  <si>
    <t>Total Account 283</t>
  </si>
  <si>
    <t>Total Excess Accumulated Deferred Income Taxes - Account 254</t>
  </si>
  <si>
    <t xml:space="preserve">Note A:  The allocators are based upon the Cost Alignment and Allocation Manual and derived from the detailed tax records of DP&amp;L.   Zero allocations are used for generation items and items charged to Other Comprehensive Income.  </t>
  </si>
  <si>
    <t>Note D:  CIAC related excess ADIT not included.</t>
  </si>
  <si>
    <t>Note E:  DP&amp;L shall provide workpapers supporting amounts in Columns B and E for all items.</t>
  </si>
  <si>
    <t>New nominal rate</t>
  </si>
  <si>
    <t>Prior nominal rate</t>
  </si>
  <si>
    <t>Remeasurement Factor</t>
  </si>
  <si>
    <t>Total Amortization</t>
  </si>
  <si>
    <t>For the 2020 Projected ATRR, columns B through E are not populated.  These columns will be populated for the 2020 ATU and forward</t>
  </si>
  <si>
    <t>12 Months Ended December 31, 2020</t>
  </si>
  <si>
    <t>As a general rule, A&amp;G costs will be directly assigned to or explicitly allocated within DP&amp;L’s accounting system between the transmission function and other functions, with the transmission function costs included in the ATRR.  A&amp;G costs directly assigned or allocated within DP&amp;L’s accounting system to distribution or relating to some other function shall be excluded.  A wage allocation will be used only to the extent there is any remaining amount that is unassigned.  These general rules will apply irrespective of whether the A&amp;G costs originate within DP&amp;L itself or from the centralized service company, AES US Services, LLC.  See Attachment 13 - A&amp;G amounts by account and by business function.</t>
  </si>
  <si>
    <t xml:space="preserve">Only the transmission portion of M&amp;S amounts reported on line 5 of page 227 of FERC Form 1 is used ("Assigned to - Construction").  The transmission portion of line 5 is specified in a footnote on page 227. </t>
  </si>
  <si>
    <t>In filling out this attachment, a full and complete description of each item and justification for the allocation to Columns B-F and each separate ADIT item will be listed,</t>
  </si>
  <si>
    <t>State and local taxes accrued on the listed temporary differences</t>
  </si>
  <si>
    <t xml:space="preserve">Books record regulatory assets and liabilities.  In certain cases, tax is able to take a current deduction for those activities (books records a reg asset for certain storm damages, tax is able to take a current deduction) </t>
  </si>
  <si>
    <t>(r)</t>
  </si>
  <si>
    <t xml:space="preserve">State and local taxes accrued on the listed temporary differences </t>
  </si>
  <si>
    <t>Book amortization of pension expense based on actuarial calculations. Tax deduction is allowed when cash contributions are made to the plan.</t>
  </si>
  <si>
    <t>p119.53.c,d</t>
  </si>
  <si>
    <t>182.3/254</t>
  </si>
  <si>
    <t>Misc. Operating Provisions</t>
  </si>
  <si>
    <t xml:space="preserve">Note C:  Includes Unamortized Excess Deferred Income Tax Regulatory Assets or Liabilities and the associated amortization arising from income tax rate changes related to the 2017 Tax Cut and Jobs Act and any future change in federal, state or local income tax rates, as per Order 864, Public Utility Transmission Rate Changes to Address Accumulated Deferred Income Taxes.  This sheet will be replicated for any future change in federal, state or local income tax rates. </t>
  </si>
  <si>
    <t>General and Intangible (determined in a Public Utilities Commission of Ohio proceeding and using data as of December 31, 2014)</t>
  </si>
  <si>
    <t>Tax and book differences resulting from accelerated tax depreciation.  Included in prorated amount</t>
  </si>
  <si>
    <t>p112.27.c</t>
  </si>
  <si>
    <t>p112.30.c</t>
  </si>
  <si>
    <t>p113.52.d</t>
  </si>
  <si>
    <t>p323.189.b</t>
  </si>
  <si>
    <t>p323.197.b</t>
  </si>
  <si>
    <t>p323.185.b</t>
  </si>
  <si>
    <t>p354.28.b</t>
  </si>
  <si>
    <t>p354.27.b</t>
  </si>
  <si>
    <t>p354.21.b</t>
  </si>
  <si>
    <t>p200.21.c</t>
  </si>
  <si>
    <t>G - Justification</t>
  </si>
  <si>
    <t>p112.24. c,d</t>
  </si>
  <si>
    <t>(iv)</t>
  </si>
  <si>
    <t>Base ROE is fixed and will not change absent a determination by FERC in a Section 205 or 206 proceeding.  The RTO Participation Adder is zero during the Moratorium Period established in ER20-1150; however, to the extent FERC has authorized an RTO Participation Adder for DP&amp;L, the sum of the Base ROE and the RTO Participation Adder shall be included in the ATRR subject to a maximum value of 9.99% during the Moratorium Period.  The sum of the Base ROE plus the RTO Participation Adder shall be included in the ATRR  at the end of the Moratorium Period.  The Annual PBOP Expense included in the Formula Rate Annual Update shall be based upon the Company's projections and trued-up to actual PBOP Expense as charged to FERC Account 926.  DP&amp;L will provide, in connection with each annual True-Up Adjustment filing, a confidential copy of relevant pages from the annual actuarial valuation report supporting the derivation of the Actual Annual PBOP Expense as charged to FERC Account 926.   Depreciation rates were approved in Docket No. ER20-1150-000.  They may be updated with future changes in depreciation rates but only after approval by FERC.  If book depreciation rates are different than the Attachment 8 rates, DP&amp;L will provide workpapers at the annual update to reconcile formula depreciation expense and FERC Form 1 depreciation accruals.</t>
  </si>
  <si>
    <t xml:space="preserve">In the projected ATRR and the ATU Adjustment, the calculations of ADIT amounts resulting from liberalized depreciations are performed in accordance with the proration requirements of Treasury Regulation Section 1.167(l)-1(h)(6).  </t>
  </si>
  <si>
    <t xml:space="preserve">Note:  In the projected ATRR and the ATU Adjustment, the calculations of ADIT amounts resulting from liberalized depreciations are performed in accordance with the proration requirements of Treasury Regulation Section 1.167(l)-1(h)(6).  </t>
  </si>
  <si>
    <t>Note B:  Per the settlement in ER20-1150, protected excess accumulated deferred income tax items are amortized using the Average Rate Assumption Method.  All other items are amortized over 10 years for 2020 and 2021 and the remaining unamortized amounts at 12/31/2021 amortized over five years thereafter.</t>
  </si>
  <si>
    <t>Note F:  Remeasurement Factor equals the ratio of the current nominal tax rate to the prior nominal tax rate.</t>
  </si>
  <si>
    <t>Less:  Amounts Related to PJM Credits in 2018 / Income Tax Prepayments</t>
  </si>
  <si>
    <t>p336.7 fn</t>
  </si>
  <si>
    <t>Account 242 - Current Year, p113.48 fn</t>
  </si>
  <si>
    <t>ADIT-190, p234</t>
  </si>
  <si>
    <t>ADIT- 282, p274</t>
  </si>
  <si>
    <t>ADIT-283 p277</t>
  </si>
  <si>
    <t xml:space="preserve">Actual for </t>
  </si>
  <si>
    <t>p200.8 fn</t>
  </si>
  <si>
    <t>p204.58 fn</t>
  </si>
  <si>
    <t>p204.99 fn</t>
  </si>
  <si>
    <t xml:space="preserve">p204.5 fn </t>
  </si>
  <si>
    <t>p219.25 fn</t>
  </si>
  <si>
    <t>p219.28 fn</t>
  </si>
  <si>
    <t>p219.29 fn</t>
  </si>
  <si>
    <t>p214.3.d</t>
  </si>
  <si>
    <t>Less:  Amounts Related to p-cards and Income Taxes (2020 only)</t>
  </si>
  <si>
    <t>p111.57 fn</t>
  </si>
  <si>
    <t>p227.16.b and fn</t>
  </si>
  <si>
    <t>p227.8 fn</t>
  </si>
  <si>
    <t>p227.5 fn</t>
  </si>
  <si>
    <t>Schedule 13</t>
  </si>
  <si>
    <t>p350.h</t>
  </si>
  <si>
    <t>Using gross plant allocator = $13.6 M</t>
  </si>
  <si>
    <t>Page 262, Line 11 fn is not correct</t>
  </si>
  <si>
    <t>Check with Tax</t>
  </si>
  <si>
    <t>p266.8.fn</t>
  </si>
  <si>
    <t>Numbers in process</t>
  </si>
  <si>
    <t>p112.28 fn</t>
  </si>
  <si>
    <t>Non-Pension and Non-PBOP Benefit Items</t>
  </si>
  <si>
    <t>p112.29 fn</t>
  </si>
  <si>
    <t>p269.2.f</t>
  </si>
  <si>
    <t xml:space="preserve">Buckeye Haas </t>
  </si>
  <si>
    <t>204.58 fn g</t>
  </si>
  <si>
    <t>p263.8</t>
  </si>
  <si>
    <t>p111.65. c,d</t>
  </si>
  <si>
    <t>Attachment 1E - Accumulated Deferred Income Taxes for Annual True-up - December 31, 2020</t>
  </si>
  <si>
    <t>Less:  Amounts Related to PUCO Proceedings (none)/Add:  Progress Payment Adjustment</t>
  </si>
  <si>
    <r>
      <t xml:space="preserve">The following revenues, which are derived from new, secondary uses of transmission facilities, are shared equally between customers and DP&amp;L:  (1) right-of-way leases and leases for space on transmission facilities for telecommunications;  (2) transmission tower licenses for wireless antennas; (3) right-of-way property leases for farming, grazing or nurseries; (4) licenses of intellectual property; and (5) transmission maintenance and consulting services to other utilities and large customers.  DP&amp;L will retain 50% of net revenues consistent with </t>
    </r>
    <r>
      <rPr>
        <i/>
        <u/>
        <sz val="11"/>
        <rFont val="Arial"/>
        <family val="2"/>
      </rPr>
      <t>Pacific Gas and Electric Company</t>
    </r>
    <r>
      <rPr>
        <sz val="11"/>
        <rFont val="Arial"/>
        <family val="2"/>
      </rPr>
      <t>, 90 FERC ¶ 61,314.  In order to use lines 13-18, DP&amp;L must track in separate subaccounts the revenues and costs associated with each new, secondary use.  There is no sharing of losses and DP&amp;L shall not use portfolio accounting.  Any revenues from existing services shall continue to be credit 100% to the ATRR.</t>
    </r>
  </si>
  <si>
    <t>Attachment 1A - Accumulated Deferred Income Taxes (ADIT) Worksheet - Projected December 31, 2020</t>
  </si>
  <si>
    <t>Attachment 1B - Accumulated Deferred Income Taxes - Prorated Projection - December 31, 2020</t>
  </si>
  <si>
    <t>Attachment 1D - Accumulated Deferred Income Taxes for Annual True-up - December 31, 2020</t>
  </si>
  <si>
    <t>Attachment 2 - Taxes Other Than Income - December 31, 2020</t>
  </si>
  <si>
    <t>Attachment 3 - Revenue Credits - December 31, 2020</t>
  </si>
  <si>
    <t>Attachment 4 - Cost Support - December 31, 2020</t>
  </si>
  <si>
    <t>Attachment 5 - CWIP in Rate Base - December 31, 2020</t>
  </si>
  <si>
    <t>Attachment 6A - True-up Adjustment for Network Integration Transmission Service - December 31, 2020</t>
  </si>
  <si>
    <t>Attachment 6B - True-up Adjustment for Schedule 12 Projects (Transmission Enhancement Charges) - December 31, 2020</t>
  </si>
  <si>
    <t>Attachment 7A - ROE Adder for Projects - December 31, 2020</t>
  </si>
  <si>
    <t>Attachment 7B - Revenue Requirement of Schedule 12 Projects - December 31, 2020</t>
  </si>
  <si>
    <t>Attachment 9 - Excess Accumulated Deferred Income Taxes - December 31, 2020</t>
  </si>
  <si>
    <t>Attachment 11 - Corrections - December 31, 2020</t>
  </si>
  <si>
    <t>Deferred taxes a CAT (Commercial Activities Tax similar to a gross receipts tax) credit</t>
  </si>
  <si>
    <t xml:space="preserve">Books records regulatory assets and liabilities.  In certain cases, tax is able to take a current deduction for those activities (books records a reg asset for certain storm damages, tax is able to take a current deduction) </t>
  </si>
  <si>
    <r>
      <t>The revenue requirement for PJM Schedule 12 Facilities is separately</t>
    </r>
    <r>
      <rPr>
        <sz val="11"/>
        <color rgb="FF00B0F0"/>
        <rFont val="Arial"/>
        <family val="2"/>
      </rPr>
      <t xml:space="preserve"> identified </t>
    </r>
    <r>
      <rPr>
        <sz val="11"/>
        <rFont val="Arial"/>
        <family val="2"/>
      </rPr>
      <t>for cost allocation purposes, as the costs are allocated to more than the Dayton Zone.  Schedule 12 Project requirements are excluded from the DP&amp;L NITS revenue requirement.  PJM compensates DP&amp;L for the Schedule 12 Project revenue requirements pursuant to Schedule 12.  Amount includes any ATU Adjustment for Schedule 12 projects.</t>
    </r>
  </si>
  <si>
    <r>
      <t>Deferred taxes a CAT (Commercial Activities Tax similar to a gross receipts tax)</t>
    </r>
    <r>
      <rPr>
        <sz val="11"/>
        <color rgb="FF00B0F0"/>
        <rFont val="Arial"/>
        <family val="2"/>
      </rPr>
      <t xml:space="preserve"> credit</t>
    </r>
  </si>
  <si>
    <r>
      <rPr>
        <sz val="11"/>
        <color rgb="FF00B0F0"/>
        <rFont val="Arial"/>
        <family val="2"/>
      </rPr>
      <t>Reacquisition</t>
    </r>
    <r>
      <rPr>
        <sz val="11"/>
        <color rgb="FF000000"/>
        <rFont val="Arial"/>
        <family val="2"/>
      </rPr>
      <t xml:space="preserve"> of Bonds</t>
    </r>
  </si>
  <si>
    <t>Not used for True-up Calculations</t>
  </si>
  <si>
    <t>ATTACHMENT D</t>
  </si>
  <si>
    <t>Informational Filing                             Docket No. ER21-1150-000</t>
  </si>
  <si>
    <t>12/31/20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</si>
</sst>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_(&quot;$&quot;* #,##0_);_(&quot;$&quot;* \(#,##0\);_(&quot;$&quot;* &quot;-&quot;??_);_(@_)"/>
    <numFmt numFmtId="167" formatCode="0.000%"/>
    <numFmt numFmtId="168" formatCode="0.00000"/>
    <numFmt numFmtId="169" formatCode="&quot;$&quot;#,##0.00"/>
    <numFmt numFmtId="170" formatCode="0.0%"/>
    <numFmt numFmtId="171" formatCode="0.0000%"/>
    <numFmt numFmtId="172" formatCode="0.00000%"/>
    <numFmt numFmtId="173" formatCode="&quot;$&quot;#,##0"/>
    <numFmt numFmtId="174" formatCode="_(* #,##0.00000_);_(* \(#,##0.00000\);_(* &quot;-&quot;??_);_(@_)"/>
    <numFmt numFmtId="175" formatCode="_([$€-2]* #,##0.00_);_([$€-2]* \(#,##0.00\);_([$€-2]* &quot;-&quot;??_)"/>
    <numFmt numFmtId="176" formatCode="#,##0.0"/>
    <numFmt numFmtId="177" formatCode="0_);\(0\)"/>
    <numFmt numFmtId="178" formatCode="mmmm\ d\,\ yyyy"/>
    <numFmt numFmtId="179" formatCode="mm/dd/yy"/>
    <numFmt numFmtId="180" formatCode="0.00_)"/>
    <numFmt numFmtId="181" formatCode="0.000000%;[Red]\-0.000000%"/>
    <numFmt numFmtId="182" formatCode="#,##0.0000000000000"/>
    <numFmt numFmtId="183" formatCode="&quot;$&quot;#,##0.0"/>
    <numFmt numFmtId="184" formatCode="#,##0.0_);\(#,##0.0\)"/>
    <numFmt numFmtId="185" formatCode="&quot;$&quot;#,##0.000_);\(&quot;$&quot;#,##0.000\)"/>
    <numFmt numFmtId="186" formatCode="&quot;$&quot;#,##0.0_);\(&quot;$&quot;#,##0.0\)"/>
    <numFmt numFmtId="187" formatCode="#,##0.000_);\(#,##0.000\)"/>
    <numFmt numFmtId="188" formatCode="_(* #,##0.0\¢_m;[Red]_(* \-#,##0.0\¢_m;[Green]_(* 0.0\¢_m;_(@_)_%"/>
    <numFmt numFmtId="189" formatCode="_(* #,##0.00\¢_m;[Red]_(* \-#,##0.00\¢_m;[Green]_(* 0.00\¢_m;_(@_)_%"/>
    <numFmt numFmtId="190" formatCode="_(* #,##0.000\¢_m;[Red]_(* \-#,##0.000\¢_m;[Green]_(* 0.000\¢_m;_(@_)_%"/>
    <numFmt numFmtId="191" formatCode="_(_(\£* #,##0_)_%;[Red]_(\(\£* #,##0\)_%;[Green]_(_(\£* #,##0_)_%;_(@_)_%"/>
    <numFmt numFmtId="192" formatCode="_(_(\£* #,##0.0_)_%;[Red]_(\(\£* #,##0.0\)_%;[Green]_(_(\£* #,##0.0_)_%;_(@_)_%"/>
    <numFmt numFmtId="193" formatCode="_(_(\£* #,##0.00_)_%;[Red]_(\(\£* #,##0.00\)_%;[Green]_(_(\£* #,##0.00_)_%;_(@_)_%"/>
    <numFmt numFmtId="194" formatCode="0.0%_);\(0.0%\)"/>
    <numFmt numFmtId="195" formatCode="\•\ \ @"/>
    <numFmt numFmtId="196" formatCode="_(_(\•_ #0_)_%;[Red]_(_(\•_ \-#0\)_%;[Green]_(_(\•_ #0_)_%;_(_(\•_ @_)_%"/>
    <numFmt numFmtId="197" formatCode="_(_(_•_ \•_ #0_)_%;[Red]_(_(_•_ \•_ \-#0\)_%;[Green]_(_(_•_ \•_ #0_)_%;_(_(_•_ \•_ @_)_%"/>
    <numFmt numFmtId="198" formatCode="_(_(_•_ _•_ \•_ #0_)_%;[Red]_(_(_•_ _•_ \•_ \-#0\)_%;[Green]_(_(_•_ _•_ \•_ #0_)_%;_(_(_•_ \•_ @_)_%"/>
    <numFmt numFmtId="199" formatCode="#,##0,_);\(#,##0,\)"/>
    <numFmt numFmtId="200" formatCode="0.0,_);\(0.0,\)"/>
    <numFmt numFmtId="201" formatCode="0.00,_);\(0.00,\)"/>
    <numFmt numFmtId="202" formatCode="_(_(_$* #,##0.0_)_%;[Red]_(\(_$* #,##0.0\)_%;[Green]_(_(_$* #,##0.0_)_%;_(@_)_%"/>
    <numFmt numFmtId="203" formatCode="_(_(_$* #,##0.00_)_%;[Red]_(\(_$* #,##0.00\)_%;[Green]_(_(_$* #,##0.00_)_%;_(@_)_%"/>
    <numFmt numFmtId="204" formatCode="_(_(_$* #,##0.000_)_%;[Red]_(\(_$* #,##0.000\)_%;[Green]_(_(_$* #,##0.000_)_%;_(@_)_%"/>
    <numFmt numFmtId="205" formatCode="_._.* #,##0.0_)_%;_._.* \(#,##0.0\)_%;_._.* \ ?_)_%"/>
    <numFmt numFmtId="206" formatCode="_._.* #,##0.00_)_%;_._.* \(#,##0.00\)_%;_._.* \ ?_)_%"/>
    <numFmt numFmtId="207" formatCode="_._.* #,##0.000_)_%;_._.* \(#,##0.000\)_%;_._.* \ ?_)_%"/>
    <numFmt numFmtId="208" formatCode="_._.* #,##0.0000_)_%;_._.* \(#,##0.0000\)_%;_._.* \ ?_)_%"/>
    <numFmt numFmtId="209" formatCode="_(_(&quot;$&quot;* #,##0.0_)_%;[Red]_(\(&quot;$&quot;* #,##0.0\)_%;[Green]_(_(&quot;$&quot;* #,##0.0_)_%;_(@_)_%"/>
    <numFmt numFmtId="210" formatCode="_(_(&quot;$&quot;* #,##0.00_)_%;[Red]_(\(&quot;$&quot;* #,##0.00\)_%;[Green]_(_(&quot;$&quot;* #,##0.00_)_%;_(@_)_%"/>
    <numFmt numFmtId="211" formatCode="_(_(&quot;$&quot;* #,##0.000_)_%;[Red]_(\(&quot;$&quot;* #,##0.000\)_%;[Green]_(_(&quot;$&quot;* #,##0.000_)_%;_(@_)_%"/>
    <numFmt numFmtId="212" formatCode="_._.&quot;$&quot;* #,##0.0_)_%;_._.&quot;$&quot;* \(#,##0.0\)_%;_._.&quot;$&quot;* \ ?_)_%"/>
    <numFmt numFmtId="213" formatCode="_._.&quot;$&quot;* #,##0.00_)_%;_._.&quot;$&quot;* \(#,##0.00\)_%;_._.&quot;$&quot;* \ ?_)_%"/>
    <numFmt numFmtId="214" formatCode="_._.&quot;$&quot;* #,##0.000_)_%;_._.&quot;$&quot;* \(#,##0.000\)_%;_._.&quot;$&quot;* \ ?_)_%"/>
    <numFmt numFmtId="215" formatCode="_._.&quot;$&quot;* #,##0.0000_)_%;_._.&quot;$&quot;* \(#,##0.0000\)_%;_._.&quot;$&quot;* \ ?_)_%"/>
    <numFmt numFmtId="216" formatCode="&quot;$&quot;#,##0,_);\(&quot;$&quot;#,##0,\)"/>
    <numFmt numFmtId="217" formatCode="&quot;$&quot;0.0,_);\(&quot;$&quot;0.0,\)"/>
    <numFmt numFmtId="218" formatCode="&quot;$&quot;0.00,_);\(&quot;$&quot;0.00,\)"/>
    <numFmt numFmtId="219" formatCode="_(* dd\-mmm\-yy_)_%"/>
    <numFmt numFmtId="220" formatCode="_(* dd\ mmmm\ yyyy_)_%"/>
    <numFmt numFmtId="221" formatCode="_(* mmmm\ dd\,\ yyyy_)_%"/>
    <numFmt numFmtId="222" formatCode="_(* dd\.mm\.yyyy_)_%"/>
    <numFmt numFmtId="223" formatCode="_(* mm/dd/yyyy_)_%"/>
    <numFmt numFmtId="224" formatCode="m/d/yy;@"/>
    <numFmt numFmtId="225" formatCode="#,##0.0\x_);\(#,##0.0\x\)"/>
    <numFmt numFmtId="226" formatCode="#,##0.00\x_);\(#,##0.00\x\)"/>
    <numFmt numFmtId="227" formatCode="[$€-2]\ #,##0_);\([$€-2]\ #,##0\)"/>
    <numFmt numFmtId="228" formatCode="[$€-2]\ #,##0.0_);\([$€-2]\ #,##0.0\)"/>
    <numFmt numFmtId="229" formatCode="General_)_%"/>
    <numFmt numFmtId="230" formatCode="_(_(#0_)_%;[Red]_(_(\-#0\)_%;[Green]_(_(#0_)_%;_(_(@_)_%"/>
    <numFmt numFmtId="231" formatCode="_(_(_•_ #0_)_%;[Red]_(_(_•_ \-#0\)_%;[Green]_(_(_•_ #0_)_%;_(_(_•_ @_)_%"/>
    <numFmt numFmtId="232" formatCode="_(_(_•_ _•_ #0_)_%;[Red]_(_(_•_ _•_ \-#0\)_%;[Green]_(_(_•_ _•_ #0_)_%;_(_(_•_ _•_ @_)_%"/>
    <numFmt numFmtId="233" formatCode="_(_(_•_ _•_ _•_ #0_)_%;[Red]_(_(_•_ _•_ _•_ \-#0\)_%;[Green]_(_(_•_ _•_ _•_ #0_)_%;_(_(_•_ _•_ _•_ @_)_%"/>
    <numFmt numFmtId="234" formatCode="#,##0\x;\(#,##0\x\)"/>
    <numFmt numFmtId="235" formatCode="0.0\x;\(0.0\x\)"/>
    <numFmt numFmtId="236" formatCode="#,##0.00\x;\(#,##0.00\x\)"/>
    <numFmt numFmtId="237" formatCode="#,##0.000\x;\(#,##0.000\x\)"/>
    <numFmt numFmtId="238" formatCode="0.0_);\(0.0\)"/>
    <numFmt numFmtId="239" formatCode="0%;\(0%\)"/>
    <numFmt numFmtId="240" formatCode="0.00\ \x_);\(0.00\ \x\)"/>
    <numFmt numFmtId="241" formatCode="_(* #,##0_);_(* \(#,##0\);_(* &quot;-&quot;????_);_(@_)"/>
    <numFmt numFmtId="242" formatCode="0__"/>
    <numFmt numFmtId="243" formatCode="h:mmAM/PM"/>
    <numFmt numFmtId="244" formatCode="0&quot; E&quot;"/>
    <numFmt numFmtId="245" formatCode="yyyy"/>
    <numFmt numFmtId="246" formatCode="0.0%;\(0.0%\)"/>
    <numFmt numFmtId="247" formatCode="0.00%_);\(0.00%\)"/>
    <numFmt numFmtId="248" formatCode="0.000%_);\(0.000%\)"/>
    <numFmt numFmtId="249" formatCode="_(0_)%;\(0\)%;\ \ ?_)%"/>
    <numFmt numFmtId="250" formatCode="_._._(* 0_)%;_._.* \(0\)%;_._._(* \ ?_)%"/>
    <numFmt numFmtId="251" formatCode="0%_);\(0%\)"/>
    <numFmt numFmtId="252" formatCode="_(* #,##0_)_%;[Red]_(* \(#,##0\)_%;[Green]_(* 0_)_%;_(@_)_%"/>
    <numFmt numFmtId="253" formatCode="_(* #,##0.0%_);[Red]_(* \-#,##0.0%_);[Green]_(* 0.0%_);_(@_)_%"/>
    <numFmt numFmtId="254" formatCode="_(* #,##0.00%_);[Red]_(* \-#,##0.00%_);[Green]_(* 0.00%_);_(@_)_%"/>
    <numFmt numFmtId="255" formatCode="_(* #,##0.000%_);[Red]_(* \-#,##0.000%_);[Green]_(* 0.000%_);_(@_)_%"/>
    <numFmt numFmtId="256" formatCode="_(0.0_)%;\(0.0\)%;\ \ ?_)%"/>
    <numFmt numFmtId="257" formatCode="_._._(* 0.0_)%;_._.* \(0.0\)%;_._._(* \ ?_)%"/>
    <numFmt numFmtId="258" formatCode="_(0.00_)%;\(0.00\)%;\ \ ?_)%"/>
    <numFmt numFmtId="259" formatCode="_._._(* 0.00_)%;_._.* \(0.00\)%;_._._(* \ ?_)%"/>
    <numFmt numFmtId="260" formatCode="_(0.000_)%;\(0.000\)%;\ \ ?_)%"/>
    <numFmt numFmtId="261" formatCode="_._._(* 0.000_)%;_._.* \(0.000\)%;_._._(* \ ?_)%"/>
    <numFmt numFmtId="262" formatCode="_(0.0000_)%;\(0.0000\)%;\ \ ?_)%"/>
    <numFmt numFmtId="263" formatCode="_._._(* 0.0000_)%;_._.* \(0.0000\)%;_._._(* \ ?_)%"/>
    <numFmt numFmtId="264" formatCode="mmmm\ dd\,\ yy"/>
    <numFmt numFmtId="265" formatCode="0.0\x"/>
    <numFmt numFmtId="266" formatCode="_(* #,##0_);_(* \(#,##0\);_(* \ ?_)"/>
    <numFmt numFmtId="267" formatCode="_(* #,##0.0_);_(* \(#,##0.0\);_(* \ ?_)"/>
    <numFmt numFmtId="268" formatCode="_(* #,##0.00_);_(* \(#,##0.00\);_(* \ ?_)"/>
    <numFmt numFmtId="269" formatCode="_(* #,##0.000_);_(* \(#,##0.000\);_(* \ ?_)"/>
    <numFmt numFmtId="270" formatCode="_(&quot;$&quot;* #,##0_);_(&quot;$&quot;* \(#,##0\);_(&quot;$&quot;* \ ?_)"/>
    <numFmt numFmtId="271" formatCode="_(&quot;$&quot;* #,##0.0_);_(&quot;$&quot;* \(#,##0.0\);_(&quot;$&quot;* \ ?_)"/>
    <numFmt numFmtId="272" formatCode="_(&quot;$&quot;* #,##0.00_);_(&quot;$&quot;* \(#,##0.00\);_(&quot;$&quot;* \ ?_)"/>
    <numFmt numFmtId="273" formatCode="_(&quot;$&quot;* #,##0.000_);_(&quot;$&quot;* \(#,##0.000\);_(&quot;$&quot;* \ ?_)"/>
    <numFmt numFmtId="274" formatCode="0000&quot;A&quot;"/>
    <numFmt numFmtId="275" formatCode="0&quot;E&quot;"/>
    <numFmt numFmtId="276" formatCode="0000&quot;E&quot;"/>
    <numFmt numFmtId="277" formatCode="&quot;$&quot;#,##0\ ;\(&quot;$&quot;#,##0\)"/>
    <numFmt numFmtId="278" formatCode="[$-409]m/d/yy\ h:mm\ AM/PM;@"/>
    <numFmt numFmtId="279" formatCode="_(&quot;$&quot;* #,##0.0000_);_(&quot;$&quot;* \(#,##0.0000\);_(&quot;$&quot;* &quot;-&quot;??_);_(@_)"/>
    <numFmt numFmtId="280" formatCode="[$-409]mmmm\ d\,\ yyyy;@"/>
  </numFmts>
  <fonts count="17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2"/>
      <name val="Arial"/>
      <family val="2"/>
    </font>
    <font>
      <sz val="12"/>
      <name val="Arial"/>
      <family val="2"/>
    </font>
    <font>
      <b/>
      <sz val="10"/>
      <color indexed="10"/>
      <name val="Arial"/>
      <family val="2"/>
    </font>
    <font>
      <sz val="12"/>
      <name val="Arial MT"/>
    </font>
    <font>
      <b/>
      <sz val="14"/>
      <name val="Arial"/>
      <family val="2"/>
    </font>
    <font>
      <b/>
      <i/>
      <sz val="12"/>
      <name val="Arial"/>
      <family val="2"/>
    </font>
    <font>
      <sz val="11"/>
      <name val="Arial"/>
      <family val="2"/>
    </font>
    <font>
      <sz val="9"/>
      <name val="Arial"/>
      <family val="2"/>
    </font>
    <font>
      <sz val="10"/>
      <name val="MS Sans Serif"/>
      <family val="2"/>
    </font>
    <font>
      <b/>
      <sz val="10"/>
      <name val="MS Sans Serif"/>
      <family val="2"/>
    </font>
    <font>
      <sz val="8"/>
      <name val="Arial"/>
      <family val="2"/>
    </font>
    <font>
      <u/>
      <vertAlign val="superscript"/>
      <sz val="11"/>
      <name val="Arial"/>
      <family val="2"/>
    </font>
    <font>
      <vertAlign val="superscript"/>
      <sz val="11"/>
      <name val="Arial"/>
      <family val="2"/>
    </font>
    <font>
      <b/>
      <i/>
      <sz val="14"/>
      <name val="Arial"/>
      <family val="2"/>
    </font>
    <font>
      <sz val="10"/>
      <name val="Courier"/>
      <family val="3"/>
    </font>
    <font>
      <sz val="10"/>
      <name val="Arial"/>
      <family val="2"/>
    </font>
    <font>
      <sz val="11"/>
      <color indexed="8"/>
      <name val="Calibri"/>
      <family val="2"/>
    </font>
    <font>
      <sz val="10"/>
      <name val="Arial"/>
      <family val="2"/>
    </font>
    <font>
      <sz val="11"/>
      <color theme="1"/>
      <name val="Arial"/>
      <family val="2"/>
    </font>
    <font>
      <b/>
      <sz val="9"/>
      <name val="Arial"/>
      <family val="2"/>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sz val="11"/>
      <color indexed="63"/>
      <name val="Calibri"/>
      <family val="2"/>
    </font>
    <font>
      <sz val="10"/>
      <name val="Times New Roman"/>
      <family val="1"/>
    </font>
    <font>
      <i/>
      <sz val="11"/>
      <color indexed="23"/>
      <name val="Calibri"/>
      <family val="2"/>
    </font>
    <font>
      <sz val="11"/>
      <color indexed="17"/>
      <name val="Calibri"/>
      <family val="2"/>
    </font>
    <font>
      <b/>
      <sz val="15"/>
      <color indexed="62"/>
      <name val="Calibri"/>
      <family val="2"/>
    </font>
    <font>
      <b/>
      <sz val="15"/>
      <color indexed="56"/>
      <name val="Calibri"/>
      <family val="2"/>
    </font>
    <font>
      <b/>
      <sz val="13"/>
      <color indexed="62"/>
      <name val="Calibri"/>
      <family val="2"/>
    </font>
    <font>
      <b/>
      <sz val="13"/>
      <color indexed="56"/>
      <name val="Calibri"/>
      <family val="2"/>
    </font>
    <font>
      <b/>
      <sz val="11"/>
      <color indexed="62"/>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i/>
      <sz val="16"/>
      <name val="Helv"/>
    </font>
    <font>
      <b/>
      <sz val="11"/>
      <color indexed="63"/>
      <name val="Calibri"/>
      <family val="2"/>
    </font>
    <font>
      <sz val="10"/>
      <name val="Tms Rmn"/>
    </font>
    <font>
      <b/>
      <sz val="10"/>
      <color indexed="8"/>
      <name val="Arial"/>
      <family val="2"/>
    </font>
    <font>
      <sz val="10"/>
      <color indexed="8"/>
      <name val="Arial"/>
      <family val="2"/>
    </font>
    <font>
      <sz val="12"/>
      <color indexed="8"/>
      <name val="Arial"/>
      <family val="2"/>
    </font>
    <font>
      <b/>
      <sz val="10"/>
      <name val="Garamond"/>
      <family val="1"/>
    </font>
    <font>
      <sz val="8.25"/>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sz val="8"/>
      <name val="Arial"/>
      <family val="2"/>
    </font>
    <font>
      <b/>
      <sz val="15"/>
      <color theme="3"/>
      <name val="Calibri"/>
      <family val="2"/>
      <scheme val="minor"/>
    </font>
    <font>
      <sz val="11"/>
      <color rgb="FFFA7D00"/>
      <name val="Calibri"/>
      <family val="2"/>
      <scheme val="minor"/>
    </font>
    <font>
      <sz val="10"/>
      <color theme="1"/>
      <name val="Arial"/>
      <family val="2"/>
    </font>
    <font>
      <b/>
      <sz val="11"/>
      <name val="Arial"/>
      <family val="2"/>
    </font>
    <font>
      <b/>
      <sz val="24"/>
      <name val="Arial Narrow"/>
      <family val="2"/>
    </font>
    <font>
      <i/>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4"/>
      <name val="Book Antiqua"/>
      <family val="1"/>
    </font>
    <font>
      <i/>
      <sz val="10"/>
      <name val="Book Antiqua"/>
      <family val="1"/>
    </font>
    <font>
      <sz val="8"/>
      <color indexed="38"/>
      <name val="Arial"/>
      <family val="2"/>
    </font>
    <font>
      <b/>
      <i/>
      <sz val="16"/>
      <name val="Arial"/>
      <family val="2"/>
    </font>
    <font>
      <b/>
      <sz val="12"/>
      <color indexed="32"/>
      <name val="Arial"/>
      <family val="2"/>
    </font>
    <font>
      <i/>
      <sz val="11"/>
      <name val="Arial"/>
      <family val="2"/>
    </font>
    <font>
      <sz val="12"/>
      <name val="Times New Roman"/>
      <family val="1"/>
    </font>
    <font>
      <sz val="10"/>
      <color indexed="12"/>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b/>
      <sz val="9"/>
      <name val="Times New Roman"/>
      <family val="1"/>
    </font>
    <font>
      <i/>
      <sz val="8"/>
      <name val="Times New Roman"/>
      <family val="1"/>
    </font>
    <font>
      <sz val="10"/>
      <color indexed="21"/>
      <name val="Arial"/>
      <family val="2"/>
    </font>
    <font>
      <b/>
      <sz val="8"/>
      <name val="Arial"/>
      <family val="2"/>
    </font>
    <font>
      <sz val="9"/>
      <name val="Helv"/>
    </font>
    <font>
      <sz val="10"/>
      <name val="Arial Narrow"/>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sz val="11"/>
      <color indexed="10"/>
      <name val="Arial Narrow"/>
      <family val="2"/>
    </font>
    <font>
      <b/>
      <sz val="18"/>
      <color theme="3"/>
      <name val="Cambria"/>
      <family val="2"/>
      <scheme val="major"/>
    </font>
    <font>
      <sz val="11"/>
      <color rgb="FF9C6500"/>
      <name val="Calibri"/>
      <family val="2"/>
      <scheme val="minor"/>
    </font>
    <font>
      <sz val="10"/>
      <color indexed="22"/>
      <name val="Arial"/>
      <family val="2"/>
    </font>
    <font>
      <b/>
      <sz val="18"/>
      <color indexed="22"/>
      <name val="Arial"/>
      <family val="2"/>
    </font>
    <font>
      <b/>
      <sz val="12"/>
      <color indexed="22"/>
      <name val="Arial"/>
      <family val="2"/>
    </font>
    <font>
      <sz val="8"/>
      <name val="Arial"/>
      <family val="2"/>
    </font>
    <font>
      <u/>
      <sz val="11"/>
      <name val="Arial"/>
      <family val="2"/>
    </font>
    <font>
      <u val="singleAccounting"/>
      <sz val="11"/>
      <name val="Arial"/>
      <family val="2"/>
    </font>
    <font>
      <sz val="11"/>
      <color rgb="FF0000FF"/>
      <name val="Arial"/>
      <family val="2"/>
    </font>
    <font>
      <sz val="11"/>
      <color rgb="FF0070C0"/>
      <name val="Arial"/>
      <family val="2"/>
    </font>
    <font>
      <sz val="11"/>
      <color rgb="FF000000"/>
      <name val="Arial"/>
      <family val="2"/>
    </font>
    <font>
      <b/>
      <sz val="11"/>
      <color rgb="FF000000"/>
      <name val="Arial"/>
      <family val="2"/>
    </font>
    <font>
      <b/>
      <sz val="11"/>
      <color rgb="FFFF0000"/>
      <name val="Arial"/>
      <family val="2"/>
    </font>
    <font>
      <sz val="11"/>
      <color rgb="FF00B0F0"/>
      <name val="Arial"/>
      <family val="2"/>
    </font>
    <font>
      <b/>
      <u/>
      <sz val="11"/>
      <name val="Arial"/>
      <family val="2"/>
    </font>
    <font>
      <b/>
      <i/>
      <sz val="11"/>
      <name val="Arial"/>
      <family val="2"/>
    </font>
    <font>
      <sz val="11"/>
      <color rgb="FFFF0000"/>
      <name val="Arial"/>
      <family val="2"/>
    </font>
    <font>
      <sz val="11"/>
      <color theme="3" tint="-0.249977111117893"/>
      <name val="Arial"/>
      <family val="2"/>
    </font>
    <font>
      <sz val="11"/>
      <color indexed="10"/>
      <name val="Arial"/>
      <family val="2"/>
    </font>
    <font>
      <i/>
      <u/>
      <sz val="11"/>
      <name val="Arial"/>
      <family val="2"/>
    </font>
    <font>
      <b/>
      <sz val="11"/>
      <color indexed="14"/>
      <name val="Arial"/>
      <family val="2"/>
    </font>
    <font>
      <b/>
      <i/>
      <sz val="11"/>
      <color indexed="10"/>
      <name val="Arial"/>
      <family val="2"/>
    </font>
    <font>
      <b/>
      <sz val="11"/>
      <color theme="1"/>
      <name val="Arial"/>
      <family val="2"/>
    </font>
    <font>
      <b/>
      <sz val="11"/>
      <color indexed="10"/>
      <name val="Arial"/>
      <family val="2"/>
    </font>
    <font>
      <b/>
      <sz val="11"/>
      <color indexed="13"/>
      <name val="Arial"/>
      <family val="2"/>
    </font>
    <font>
      <sz val="11"/>
      <color indexed="12"/>
      <name val="Arial"/>
      <family val="2"/>
    </font>
    <font>
      <sz val="11"/>
      <color indexed="13"/>
      <name val="Arial"/>
      <family val="2"/>
    </font>
    <font>
      <b/>
      <i/>
      <sz val="11"/>
      <color indexed="14"/>
      <name val="Arial"/>
      <family val="2"/>
    </font>
    <font>
      <sz val="11"/>
      <color indexed="43"/>
      <name val="Arial"/>
      <family val="2"/>
    </font>
    <font>
      <sz val="16"/>
      <name val="Arial"/>
      <family val="2"/>
    </font>
    <font>
      <b/>
      <sz val="16"/>
      <name val="Arial"/>
      <family val="2"/>
    </font>
  </fonts>
  <fills count="80">
    <fill>
      <patternFill patternType="none"/>
    </fill>
    <fill>
      <patternFill patternType="gray125"/>
    </fill>
    <fill>
      <patternFill patternType="mediumGray">
        <fgColor indexed="22"/>
      </patternFill>
    </fill>
    <fill>
      <patternFill patternType="solid">
        <fgColor indexed="26"/>
        <bgColor indexed="9"/>
      </patternFill>
    </fill>
    <fill>
      <patternFill patternType="solid">
        <fgColor indexed="2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41"/>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3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EB9C"/>
      </patternFill>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26"/>
        <bgColor indexed="64"/>
      </patternFill>
    </fill>
    <fill>
      <patternFill patternType="lightGray">
        <fgColor indexed="38"/>
        <bgColor indexed="23"/>
      </patternFill>
    </fill>
    <fill>
      <patternFill patternType="solid">
        <fgColor theme="0"/>
        <bgColor indexed="64"/>
      </patternFill>
    </fill>
    <fill>
      <patternFill patternType="solid">
        <fgColor rgb="FF00B0F0"/>
        <bgColor indexed="64"/>
      </patternFill>
    </fill>
  </fills>
  <borders count="79">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right/>
      <top style="thin">
        <color indexed="49"/>
      </top>
      <bottom style="double">
        <color indexed="49"/>
      </bottom>
      <diagonal/>
    </border>
    <border>
      <left/>
      <right/>
      <top style="thin">
        <color indexed="62"/>
      </top>
      <bottom style="double">
        <color indexed="62"/>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thin">
        <color indexed="64"/>
      </top>
      <bottom style="medium">
        <color indexed="64"/>
      </bottom>
      <diagonal/>
    </border>
    <border>
      <left/>
      <right/>
      <top/>
      <bottom style="thick">
        <color theme="4"/>
      </bottom>
      <diagonal/>
    </border>
    <border>
      <left/>
      <right/>
      <top/>
      <bottom style="double">
        <color rgb="FFFF8001"/>
      </bottom>
      <diagonal/>
    </border>
    <border>
      <left/>
      <right/>
      <top style="double">
        <color indexed="64"/>
      </top>
      <bottom/>
      <diagonal/>
    </border>
    <border>
      <left/>
      <right/>
      <top/>
      <bottom style="hair">
        <color indexed="64"/>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bottom style="medium">
        <color auto="1"/>
      </bottom>
      <diagonal/>
    </border>
    <border>
      <left/>
      <right style="thin">
        <color indexed="64"/>
      </right>
      <top style="medium">
        <color indexed="64"/>
      </top>
      <bottom/>
      <diagonal/>
    </border>
    <border>
      <left/>
      <right style="medium">
        <color indexed="64"/>
      </right>
      <top style="thin">
        <color indexed="64"/>
      </top>
      <bottom/>
      <diagonal/>
    </border>
    <border>
      <left/>
      <right style="thin">
        <color indexed="64"/>
      </right>
      <top/>
      <bottom style="medium">
        <color auto="1"/>
      </bottom>
      <diagonal/>
    </border>
  </borders>
  <cellStyleXfs count="10337">
    <xf numFmtId="0" fontId="0" fillId="0" borderId="0"/>
    <xf numFmtId="0" fontId="32" fillId="0" borderId="0"/>
    <xf numFmtId="43"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5" fillId="0" borderId="1"/>
    <xf numFmtId="44" fontId="15" fillId="0" borderId="0" applyFont="0" applyFill="0" applyBorder="0" applyAlignment="0" applyProtection="0"/>
    <xf numFmtId="44" fontId="15" fillId="0" borderId="0" applyFont="0" applyFill="0" applyBorder="0" applyAlignment="0" applyProtection="0"/>
    <xf numFmtId="175" fontId="31"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5" fillId="0" borderId="0" applyNumberFormat="0" applyFont="0" applyFill="0" applyBorder="0" applyAlignment="0" applyProtection="0">
      <alignment horizontal="left"/>
    </xf>
    <xf numFmtId="15" fontId="25" fillId="0" borderId="0" applyFont="0" applyFill="0" applyBorder="0" applyAlignment="0" applyProtection="0"/>
    <xf numFmtId="4" fontId="25" fillId="0" borderId="0" applyFont="0" applyFill="0" applyBorder="0" applyAlignment="0" applyProtection="0"/>
    <xf numFmtId="0" fontId="26" fillId="0" borderId="2">
      <alignment horizontal="center"/>
    </xf>
    <xf numFmtId="3" fontId="25" fillId="0" borderId="0" applyFont="0" applyFill="0" applyBorder="0" applyAlignment="0" applyProtection="0"/>
    <xf numFmtId="0" fontId="25" fillId="2" borderId="0" applyNumberFormat="0" applyFont="0" applyBorder="0" applyAlignment="0" applyProtection="0"/>
    <xf numFmtId="0" fontId="21" fillId="3" borderId="0"/>
    <xf numFmtId="0" fontId="15" fillId="4" borderId="1" applyNumberFormat="0" applyFont="0" applyAlignment="0"/>
    <xf numFmtId="44" fontId="33"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33" fillId="0" borderId="0" applyFont="0" applyFill="0" applyBorder="0" applyAlignment="0" applyProtection="0"/>
    <xf numFmtId="0" fontId="34" fillId="0" borderId="0"/>
    <xf numFmtId="43" fontId="15" fillId="0" borderId="0" applyFont="0" applyFill="0" applyBorder="0" applyAlignment="0" applyProtection="0"/>
    <xf numFmtId="43" fontId="33"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35" fillId="0" borderId="0"/>
    <xf numFmtId="9" fontId="13" fillId="0" borderId="0" applyFont="0" applyFill="0" applyBorder="0" applyAlignment="0" applyProtection="0"/>
    <xf numFmtId="43" fontId="13" fillId="0" borderId="0" applyFont="0" applyFill="0" applyBorder="0" applyAlignment="0" applyProtection="0"/>
    <xf numFmtId="0" fontId="12" fillId="0" borderId="0"/>
    <xf numFmtId="43" fontId="12" fillId="0" borderId="0" applyFont="0" applyFill="0" applyBorder="0" applyAlignment="0" applyProtection="0"/>
    <xf numFmtId="0" fontId="15" fillId="0" borderId="0"/>
    <xf numFmtId="41"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5" fillId="0" borderId="0"/>
    <xf numFmtId="0" fontId="11" fillId="0" borderId="0"/>
    <xf numFmtId="43" fontId="33" fillId="0" borderId="0" applyFont="0" applyFill="0" applyBorder="0" applyAlignment="0" applyProtection="0"/>
    <xf numFmtId="43" fontId="1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42" borderId="0" applyNumberFormat="0" applyBorder="0" applyAlignment="0" applyProtection="0"/>
    <xf numFmtId="0" fontId="33" fillId="43" borderId="0" applyNumberFormat="0" applyBorder="0" applyAlignment="0" applyProtection="0"/>
    <xf numFmtId="0" fontId="11" fillId="19"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11" fillId="19"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4" borderId="0" applyNumberFormat="0" applyBorder="0" applyAlignment="0" applyProtection="0"/>
    <xf numFmtId="0" fontId="33" fillId="45" borderId="0" applyNumberFormat="0" applyBorder="0" applyAlignment="0" applyProtection="0"/>
    <xf numFmtId="0" fontId="11" fillId="23"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11" fillId="23"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11"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11" fillId="27" borderId="0" applyNumberFormat="0" applyBorder="0" applyAlignment="0" applyProtection="0"/>
    <xf numFmtId="0" fontId="33" fillId="46" borderId="0" applyNumberFormat="0" applyBorder="0" applyAlignment="0" applyProtection="0"/>
    <xf numFmtId="0" fontId="33" fillId="46" borderId="0" applyNumberFormat="0" applyBorder="0" applyAlignment="0" applyProtection="0"/>
    <xf numFmtId="0" fontId="33" fillId="42" borderId="0" applyNumberFormat="0" applyBorder="0" applyAlignment="0" applyProtection="0"/>
    <xf numFmtId="0" fontId="33" fillId="48" borderId="0" applyNumberFormat="0" applyBorder="0" applyAlignment="0" applyProtection="0"/>
    <xf numFmtId="0" fontId="11" fillId="31"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11" fillId="31"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11" fillId="3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11" fillId="35" borderId="0" applyNumberFormat="0" applyBorder="0" applyAlignment="0" applyProtection="0"/>
    <xf numFmtId="0" fontId="33" fillId="49" borderId="0" applyNumberFormat="0" applyBorder="0" applyAlignment="0" applyProtection="0"/>
    <xf numFmtId="0" fontId="33" fillId="49" borderId="0" applyNumberFormat="0" applyBorder="0" applyAlignment="0" applyProtection="0"/>
    <xf numFmtId="0" fontId="33" fillId="4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33" fillId="44"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11" fillId="20"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11" fillId="2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3"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11" fillId="28" borderId="0" applyNumberFormat="0" applyBorder="0" applyAlignment="0" applyProtection="0"/>
    <xf numFmtId="0" fontId="33" fillId="55" borderId="0" applyNumberFormat="0" applyBorder="0" applyAlignment="0" applyProtection="0"/>
    <xf numFmtId="0" fontId="33" fillId="55" borderId="0" applyNumberFormat="0" applyBorder="0" applyAlignment="0" applyProtection="0"/>
    <xf numFmtId="0" fontId="11" fillId="2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1" borderId="0" applyNumberFormat="0" applyBorder="0" applyAlignment="0" applyProtection="0"/>
    <xf numFmtId="0" fontId="33" fillId="48" borderId="0" applyNumberFormat="0" applyBorder="0" applyAlignment="0" applyProtection="0"/>
    <xf numFmtId="0" fontId="11" fillId="32" borderId="0" applyNumberFormat="0" applyBorder="0" applyAlignment="0" applyProtection="0"/>
    <xf numFmtId="0" fontId="33" fillId="48" borderId="0" applyNumberFormat="0" applyBorder="0" applyAlignment="0" applyProtection="0"/>
    <xf numFmtId="0" fontId="33" fillId="48" borderId="0" applyNumberFormat="0" applyBorder="0" applyAlignment="0" applyProtection="0"/>
    <xf numFmtId="0" fontId="11" fillId="3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33" fillId="52" borderId="0" applyNumberFormat="0" applyBorder="0" applyAlignment="0" applyProtection="0"/>
    <xf numFmtId="0" fontId="33" fillId="44" borderId="0" applyNumberFormat="0" applyBorder="0" applyAlignment="0" applyProtection="0"/>
    <xf numFmtId="0" fontId="33" fillId="56" borderId="0" applyNumberFormat="0" applyBorder="0" applyAlignment="0" applyProtection="0"/>
    <xf numFmtId="0" fontId="11" fillId="40" borderId="0" applyNumberFormat="0" applyBorder="0" applyAlignment="0" applyProtection="0"/>
    <xf numFmtId="0" fontId="33" fillId="56" borderId="0" applyNumberFormat="0" applyBorder="0" applyAlignment="0" applyProtection="0"/>
    <xf numFmtId="0" fontId="33" fillId="56" borderId="0" applyNumberFormat="0" applyBorder="0" applyAlignment="0" applyProtection="0"/>
    <xf numFmtId="0" fontId="11" fillId="40"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49" fillId="57" borderId="0" applyNumberFormat="0" applyBorder="0" applyAlignment="0" applyProtection="0"/>
    <xf numFmtId="0" fontId="49" fillId="58" borderId="0" applyNumberFormat="0" applyBorder="0" applyAlignment="0" applyProtection="0"/>
    <xf numFmtId="0" fontId="48" fillId="21" borderId="0" applyNumberFormat="0" applyBorder="0" applyAlignment="0" applyProtection="0"/>
    <xf numFmtId="0" fontId="49" fillId="57" borderId="0" applyNumberFormat="0" applyBorder="0" applyAlignment="0" applyProtection="0"/>
    <xf numFmtId="0" fontId="49" fillId="53" borderId="0" applyNumberFormat="0" applyBorder="0" applyAlignment="0" applyProtection="0"/>
    <xf numFmtId="0" fontId="48" fillId="25" borderId="0" applyNumberFormat="0" applyBorder="0" applyAlignment="0" applyProtection="0"/>
    <xf numFmtId="0" fontId="49" fillId="53" borderId="0" applyNumberFormat="0" applyBorder="0" applyAlignment="0" applyProtection="0"/>
    <xf numFmtId="0" fontId="49" fillId="54" borderId="0" applyNumberFormat="0" applyBorder="0" applyAlignment="0" applyProtection="0"/>
    <xf numFmtId="0" fontId="49" fillId="55" borderId="0" applyNumberFormat="0" applyBorder="0" applyAlignment="0" applyProtection="0"/>
    <xf numFmtId="0" fontId="48" fillId="29" borderId="0" applyNumberFormat="0" applyBorder="0" applyAlignment="0" applyProtection="0"/>
    <xf numFmtId="0" fontId="49" fillId="54" borderId="0" applyNumberFormat="0" applyBorder="0" applyAlignment="0" applyProtection="0"/>
    <xf numFmtId="0" fontId="49" fillId="51" borderId="0" applyNumberFormat="0" applyBorder="0" applyAlignment="0" applyProtection="0"/>
    <xf numFmtId="0" fontId="49" fillId="59" borderId="0" applyNumberFormat="0" applyBorder="0" applyAlignment="0" applyProtection="0"/>
    <xf numFmtId="0" fontId="48" fillId="33" borderId="0" applyNumberFormat="0" applyBorder="0" applyAlignment="0" applyProtection="0"/>
    <xf numFmtId="0" fontId="49" fillId="51" borderId="0" applyNumberFormat="0" applyBorder="0" applyAlignment="0" applyProtection="0"/>
    <xf numFmtId="0" fontId="49" fillId="57" borderId="0" applyNumberFormat="0" applyBorder="0" applyAlignment="0" applyProtection="0"/>
    <xf numFmtId="0" fontId="48" fillId="37" borderId="0" applyNumberFormat="0" applyBorder="0" applyAlignment="0" applyProtection="0"/>
    <xf numFmtId="0" fontId="49" fillId="57" borderId="0" applyNumberFormat="0" applyBorder="0" applyAlignment="0" applyProtection="0"/>
    <xf numFmtId="0" fontId="49" fillId="44" borderId="0" applyNumberFormat="0" applyBorder="0" applyAlignment="0" applyProtection="0"/>
    <xf numFmtId="0" fontId="49" fillId="60" borderId="0" applyNumberFormat="0" applyBorder="0" applyAlignment="0" applyProtection="0"/>
    <xf numFmtId="0" fontId="48" fillId="41" borderId="0" applyNumberFormat="0" applyBorder="0" applyAlignment="0" applyProtection="0"/>
    <xf numFmtId="0" fontId="49" fillId="44" borderId="0" applyNumberFormat="0" applyBorder="0" applyAlignment="0" applyProtection="0"/>
    <xf numFmtId="0" fontId="49" fillId="57" borderId="0" applyNumberFormat="0" applyBorder="0" applyAlignment="0" applyProtection="0"/>
    <xf numFmtId="0" fontId="49" fillId="61" borderId="0" applyNumberFormat="0" applyBorder="0" applyAlignment="0" applyProtection="0"/>
    <xf numFmtId="0" fontId="48" fillId="18" borderId="0" applyNumberFormat="0" applyBorder="0" applyAlignment="0" applyProtection="0"/>
    <xf numFmtId="0" fontId="49" fillId="57" borderId="0" applyNumberFormat="0" applyBorder="0" applyAlignment="0" applyProtection="0"/>
    <xf numFmtId="0" fontId="49" fillId="62" borderId="0" applyNumberFormat="0" applyBorder="0" applyAlignment="0" applyProtection="0"/>
    <xf numFmtId="0" fontId="48" fillId="22" borderId="0" applyNumberFormat="0" applyBorder="0" applyAlignment="0" applyProtection="0"/>
    <xf numFmtId="0" fontId="49" fillId="62" borderId="0" applyNumberFormat="0" applyBorder="0" applyAlignment="0" applyProtection="0"/>
    <xf numFmtId="0" fontId="49" fillId="63" borderId="0" applyNumberFormat="0" applyBorder="0" applyAlignment="0" applyProtection="0"/>
    <xf numFmtId="0" fontId="48" fillId="26" borderId="0" applyNumberFormat="0" applyBorder="0" applyAlignment="0" applyProtection="0"/>
    <xf numFmtId="0" fontId="49" fillId="63" borderId="0" applyNumberFormat="0" applyBorder="0" applyAlignment="0" applyProtection="0"/>
    <xf numFmtId="0" fontId="49" fillId="64" borderId="0" applyNumberFormat="0" applyBorder="0" applyAlignment="0" applyProtection="0"/>
    <xf numFmtId="0" fontId="49" fillId="59" borderId="0" applyNumberFormat="0" applyBorder="0" applyAlignment="0" applyProtection="0"/>
    <xf numFmtId="0" fontId="48" fillId="30" borderId="0" applyNumberFormat="0" applyBorder="0" applyAlignment="0" applyProtection="0"/>
    <xf numFmtId="0" fontId="49" fillId="64" borderId="0" applyNumberFormat="0" applyBorder="0" applyAlignment="0" applyProtection="0"/>
    <xf numFmtId="0" fontId="49" fillId="57" borderId="0" applyNumberFormat="0" applyBorder="0" applyAlignment="0" applyProtection="0"/>
    <xf numFmtId="0" fontId="48" fillId="34" borderId="0" applyNumberFormat="0" applyBorder="0" applyAlignment="0" applyProtection="0"/>
    <xf numFmtId="0" fontId="49" fillId="57" borderId="0" applyNumberFormat="0" applyBorder="0" applyAlignment="0" applyProtection="0"/>
    <xf numFmtId="0" fontId="49" fillId="65" borderId="0" applyNumberFormat="0" applyBorder="0" applyAlignment="0" applyProtection="0"/>
    <xf numFmtId="0" fontId="48" fillId="38" borderId="0" applyNumberFormat="0" applyBorder="0" applyAlignment="0" applyProtection="0"/>
    <xf numFmtId="0" fontId="49" fillId="65" borderId="0" applyNumberFormat="0" applyBorder="0" applyAlignment="0" applyProtection="0"/>
    <xf numFmtId="0" fontId="50" fillId="45" borderId="0" applyNumberFormat="0" applyBorder="0" applyAlignment="0" applyProtection="0"/>
    <xf numFmtId="0" fontId="40" fillId="13" borderId="0" applyNumberFormat="0" applyBorder="0" applyAlignment="0" applyProtection="0"/>
    <xf numFmtId="0" fontId="50" fillId="45" borderId="0" applyNumberFormat="0" applyBorder="0" applyAlignment="0" applyProtection="0"/>
    <xf numFmtId="0" fontId="51" fillId="42" borderId="42" applyNumberFormat="0" applyAlignment="0" applyProtection="0"/>
    <xf numFmtId="0" fontId="51" fillId="51" borderId="42" applyNumberFormat="0" applyAlignment="0" applyProtection="0"/>
    <xf numFmtId="0" fontId="43" fillId="15" borderId="37" applyNumberFormat="0" applyAlignment="0" applyProtection="0"/>
    <xf numFmtId="0" fontId="51" fillId="42" borderId="42" applyNumberFormat="0" applyAlignment="0" applyProtection="0"/>
    <xf numFmtId="0" fontId="52" fillId="66" borderId="43" applyNumberFormat="0" applyAlignment="0" applyProtection="0"/>
    <xf numFmtId="0" fontId="44" fillId="16" borderId="39" applyNumberFormat="0" applyAlignment="0" applyProtection="0"/>
    <xf numFmtId="0" fontId="52" fillId="66" borderId="43" applyNumberFormat="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11"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0" fontId="15"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0" fontId="15" fillId="0" borderId="0" applyFont="0" applyFill="0" applyBorder="0" applyAlignment="0" applyProtection="0"/>
    <xf numFmtId="43" fontId="15" fillId="0" borderId="0" applyFont="0" applyFill="0" applyBorder="0" applyAlignment="0" applyProtection="0"/>
    <xf numFmtId="43" fontId="53" fillId="0" borderId="0" applyFont="0" applyFill="0" applyBorder="0" applyAlignment="0" applyProtection="0"/>
    <xf numFmtId="43" fontId="15" fillId="0" borderId="0" applyFont="0" applyFill="0" applyBorder="0" applyAlignment="0" applyProtection="0"/>
    <xf numFmtId="43" fontId="53" fillId="0" borderId="0" applyFont="0" applyFill="0" applyBorder="0" applyAlignment="0" applyProtection="0"/>
    <xf numFmtId="43" fontId="5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1" fillId="0" borderId="0" applyFont="0" applyFill="0" applyBorder="0" applyAlignment="0" applyProtection="0"/>
    <xf numFmtId="43" fontId="33" fillId="0" borderId="0" applyFont="0" applyFill="0" applyBorder="0" applyAlignment="0" applyProtection="0"/>
    <xf numFmtId="43" fontId="1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3" fontId="15" fillId="0" borderId="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33"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1" fillId="0" borderId="0" applyFont="0" applyFill="0" applyBorder="0" applyAlignment="0" applyProtection="0"/>
    <xf numFmtId="44" fontId="33" fillId="0" borderId="0" applyFont="0" applyFill="0" applyBorder="0" applyAlignment="0" applyProtection="0"/>
    <xf numFmtId="44" fontId="15"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5" fontId="15" fillId="0" borderId="0" applyFill="0" applyBorder="0" applyAlignment="0" applyProtection="0"/>
    <xf numFmtId="178" fontId="15" fillId="0" borderId="0" applyFill="0" applyBorder="0" applyAlignment="0" applyProtection="0"/>
    <xf numFmtId="179" fontId="24" fillId="0" borderId="13">
      <alignment horizontal="center" vertical="center" wrapText="1"/>
    </xf>
    <xf numFmtId="0" fontId="55" fillId="0" borderId="0" applyNumberFormat="0" applyFill="0" applyBorder="0" applyAlignment="0" applyProtection="0"/>
    <xf numFmtId="0" fontId="46" fillId="0" borderId="0" applyNumberFormat="0" applyFill="0" applyBorder="0" applyAlignment="0" applyProtection="0"/>
    <xf numFmtId="0" fontId="55" fillId="0" borderId="0" applyNumberFormat="0" applyFill="0" applyBorder="0" applyAlignment="0" applyProtection="0"/>
    <xf numFmtId="2" fontId="15" fillId="0" borderId="0" applyFill="0" applyBorder="0" applyAlignment="0" applyProtection="0"/>
    <xf numFmtId="0" fontId="56" fillId="47" borderId="0" applyNumberFormat="0" applyBorder="0" applyAlignment="0" applyProtection="0"/>
    <xf numFmtId="0" fontId="39" fillId="12" borderId="0" applyNumberFormat="0" applyBorder="0" applyAlignment="0" applyProtection="0"/>
    <xf numFmtId="0" fontId="56" fillId="47" borderId="0" applyNumberFormat="0" applyBorder="0" applyAlignment="0" applyProtection="0"/>
    <xf numFmtId="0" fontId="36" fillId="4" borderId="13">
      <alignment horizontal="center" vertical="top" wrapText="1"/>
    </xf>
    <xf numFmtId="0" fontId="57" fillId="0" borderId="44" applyNumberFormat="0" applyFill="0" applyAlignment="0" applyProtection="0"/>
    <xf numFmtId="0" fontId="58" fillId="0" borderId="45" applyNumberFormat="0" applyFill="0" applyAlignment="0" applyProtection="0"/>
    <xf numFmtId="0" fontId="59" fillId="0" borderId="46" applyNumberFormat="0" applyFill="0" applyAlignment="0" applyProtection="0"/>
    <xf numFmtId="0" fontId="60" fillId="0" borderId="46" applyNumberFormat="0" applyFill="0" applyAlignment="0" applyProtection="0"/>
    <xf numFmtId="0" fontId="37" fillId="0" borderId="35" applyNumberFormat="0" applyFill="0" applyAlignment="0" applyProtection="0"/>
    <xf numFmtId="0" fontId="59" fillId="0" borderId="46" applyNumberFormat="0" applyFill="0" applyAlignment="0" applyProtection="0"/>
    <xf numFmtId="0" fontId="61" fillId="0" borderId="47" applyNumberFormat="0" applyFill="0" applyAlignment="0" applyProtection="0"/>
    <xf numFmtId="0" fontId="62" fillId="0" borderId="48" applyNumberFormat="0" applyFill="0" applyAlignment="0" applyProtection="0"/>
    <xf numFmtId="0" fontId="38" fillId="0" borderId="36" applyNumberFormat="0" applyFill="0" applyAlignment="0" applyProtection="0"/>
    <xf numFmtId="0" fontId="61" fillId="0" borderId="47" applyNumberFormat="0" applyFill="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44" borderId="42" applyNumberFormat="0" applyAlignment="0" applyProtection="0"/>
    <xf numFmtId="0" fontId="41" fillId="14" borderId="37" applyNumberFormat="0" applyAlignment="0" applyProtection="0"/>
    <xf numFmtId="0" fontId="64" fillId="44" borderId="42" applyNumberFormat="0" applyAlignment="0" applyProtection="0"/>
    <xf numFmtId="0" fontId="65" fillId="0" borderId="49" applyNumberFormat="0" applyFill="0" applyAlignment="0" applyProtection="0"/>
    <xf numFmtId="0" fontId="15" fillId="0" borderId="0" applyFont="0" applyFill="0" applyBorder="0" applyAlignment="0" applyProtection="0"/>
    <xf numFmtId="0" fontId="66" fillId="54" borderId="0" applyNumberFormat="0" applyBorder="0" applyAlignment="0" applyProtection="0"/>
    <xf numFmtId="180" fontId="67" fillId="0" borderId="0"/>
    <xf numFmtId="0" fontId="11" fillId="0" borderId="0"/>
    <xf numFmtId="0" fontId="11" fillId="0" borderId="0"/>
    <xf numFmtId="0" fontId="11" fillId="0" borderId="0"/>
    <xf numFmtId="0" fontId="11" fillId="0" borderId="0"/>
    <xf numFmtId="0" fontId="11" fillId="0" borderId="0"/>
    <xf numFmtId="0" fontId="15" fillId="0" borderId="0"/>
    <xf numFmtId="0" fontId="15" fillId="0" borderId="0"/>
    <xf numFmtId="0" fontId="15" fillId="0" borderId="0"/>
    <xf numFmtId="0" fontId="15" fillId="0" borderId="0"/>
    <xf numFmtId="0" fontId="15" fillId="0" borderId="0"/>
    <xf numFmtId="0" fontId="15" fillId="0" borderId="0"/>
    <xf numFmtId="0" fontId="11" fillId="0" borderId="0"/>
    <xf numFmtId="0" fontId="33" fillId="0" borderId="0"/>
    <xf numFmtId="0" fontId="11" fillId="0" borderId="0"/>
    <xf numFmtId="0" fontId="33" fillId="0" borderId="0"/>
    <xf numFmtId="0" fontId="33" fillId="0" borderId="0"/>
    <xf numFmtId="0" fontId="3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33" fillId="0" borderId="0"/>
    <xf numFmtId="0" fontId="33" fillId="0" borderId="0"/>
    <xf numFmtId="0" fontId="11" fillId="0" borderId="0"/>
    <xf numFmtId="0" fontId="11" fillId="0" borderId="0"/>
    <xf numFmtId="0" fontId="11" fillId="0" borderId="0"/>
    <xf numFmtId="0" fontId="15" fillId="0" borderId="0"/>
    <xf numFmtId="0" fontId="11"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5" fontId="24" fillId="0" borderId="13">
      <alignment horizontal="right" vertical="center"/>
    </xf>
    <xf numFmtId="0" fontId="24" fillId="0" borderId="13">
      <alignment horizontal="left" vertical="center" wrapText="1"/>
    </xf>
    <xf numFmtId="1" fontId="36" fillId="4" borderId="13">
      <alignment horizontal="center" vertical="center" wrapText="1"/>
    </xf>
    <xf numFmtId="0" fontId="15" fillId="46" borderId="5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11" fillId="17" borderId="40" applyNumberFormat="0" applyFont="0" applyAlignment="0" applyProtection="0"/>
    <xf numFmtId="0" fontId="33" fillId="17" borderId="40" applyNumberFormat="0" applyFont="0" applyAlignment="0" applyProtection="0"/>
    <xf numFmtId="0" fontId="11" fillId="17" borderId="4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15" fillId="46" borderId="50" applyNumberFormat="0" applyFont="0" applyAlignment="0" applyProtection="0"/>
    <xf numFmtId="0" fontId="68" fillId="42" borderId="51" applyNumberFormat="0" applyAlignment="0" applyProtection="0"/>
    <xf numFmtId="0" fontId="68" fillId="51" borderId="51" applyNumberFormat="0" applyAlignment="0" applyProtection="0"/>
    <xf numFmtId="0" fontId="42" fillId="15" borderId="38" applyNumberFormat="0" applyAlignment="0" applyProtection="0"/>
    <xf numFmtId="0" fontId="68" fillId="42"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181"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69" fillId="0" borderId="0">
      <alignment wrapText="1"/>
    </xf>
    <xf numFmtId="4" fontId="70" fillId="54" borderId="52" applyNumberFormat="0" applyProtection="0">
      <alignment vertical="center"/>
    </xf>
    <xf numFmtId="4" fontId="71" fillId="8" borderId="51" applyNumberFormat="0" applyProtection="0">
      <alignment horizontal="left" vertical="center" indent="1"/>
    </xf>
    <xf numFmtId="4" fontId="71" fillId="8"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4" borderId="51" applyNumberFormat="0" applyProtection="0">
      <alignment horizontal="left" vertical="center" indent="1"/>
    </xf>
    <xf numFmtId="0" fontId="15" fillId="4" borderId="51" applyNumberFormat="0" applyProtection="0">
      <alignment horizontal="left" vertical="center" indent="1"/>
    </xf>
    <xf numFmtId="4" fontId="72" fillId="6" borderId="52" applyNumberFormat="0" applyProtection="0">
      <alignment horizontal="right" vertical="center"/>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15" fillId="67" borderId="51" applyNumberFormat="0" applyProtection="0">
      <alignment horizontal="left" vertical="center" indent="1"/>
    </xf>
    <xf numFmtId="0" fontId="73" fillId="0" borderId="0" applyNumberFormat="0" applyFill="0" applyBorder="0" applyAlignment="0" applyProtection="0"/>
    <xf numFmtId="0" fontId="74" fillId="0" borderId="53">
      <alignment horizontal="center" vertical="center" wrapText="1"/>
    </xf>
    <xf numFmtId="0" fontId="75" fillId="0" borderId="0" applyNumberFormat="0" applyFill="0" applyBorder="0" applyAlignment="0" applyProtection="0"/>
    <xf numFmtId="0" fontId="76" fillId="0" borderId="0" applyNumberFormat="0" applyFill="0" applyBorder="0" applyAlignment="0" applyProtection="0"/>
    <xf numFmtId="0" fontId="77" fillId="0" borderId="54" applyNumberFormat="0" applyFill="0" applyAlignment="0" applyProtection="0"/>
    <xf numFmtId="0" fontId="77" fillId="0" borderId="55" applyNumberFormat="0" applyFill="0" applyAlignment="0" applyProtection="0"/>
    <xf numFmtId="0" fontId="47" fillId="0" borderId="41" applyNumberFormat="0" applyFill="0" applyAlignment="0" applyProtection="0"/>
    <xf numFmtId="0" fontId="77" fillId="0" borderId="54" applyNumberFormat="0" applyFill="0" applyAlignment="0" applyProtection="0"/>
    <xf numFmtId="0" fontId="78" fillId="0" borderId="0" applyNumberFormat="0" applyFill="0" applyBorder="0" applyAlignment="0" applyProtection="0"/>
    <xf numFmtId="0" fontId="45" fillId="0" borderId="0" applyNumberFormat="0" applyFill="0" applyBorder="0" applyAlignment="0" applyProtection="0"/>
    <xf numFmtId="0" fontId="78" fillId="0" borderId="0" applyNumberFormat="0" applyFill="0" applyBorder="0" applyAlignment="0" applyProtection="0"/>
    <xf numFmtId="0" fontId="15" fillId="0" borderId="0"/>
    <xf numFmtId="0" fontId="15"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9" fontId="8" fillId="0" borderId="0" applyFont="0" applyFill="0" applyBorder="0" applyAlignment="0" applyProtection="0"/>
    <xf numFmtId="0" fontId="15" fillId="0" borderId="0"/>
    <xf numFmtId="0" fontId="15" fillId="0" borderId="0"/>
    <xf numFmtId="0" fontId="15" fillId="0" borderId="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0" fontId="15"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33" fillId="0" borderId="0" applyFont="0" applyFill="0" applyBorder="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5" fillId="17" borderId="40" applyNumberFormat="0" applyFont="0" applyAlignment="0" applyProtection="0"/>
    <xf numFmtId="0" fontId="15" fillId="0" borderId="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0" fontId="15" fillId="0" borderId="0"/>
    <xf numFmtId="0" fontId="15" fillId="0" borderId="0"/>
    <xf numFmtId="9" fontId="15" fillId="0" borderId="0" applyFont="0" applyFill="0" applyBorder="0" applyAlignment="0" applyProtection="0"/>
    <xf numFmtId="0" fontId="4" fillId="0" borderId="0"/>
    <xf numFmtId="169" fontId="20" fillId="0" borderId="0" applyProtection="0"/>
    <xf numFmtId="43"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43" fontId="25"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15"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0" borderId="0"/>
    <xf numFmtId="0" fontId="15" fillId="0" borderId="0"/>
    <xf numFmtId="41" fontId="15" fillId="0" borderId="0" applyFont="0" applyFill="0" applyBorder="0" applyAlignment="0" applyProtection="0"/>
    <xf numFmtId="0" fontId="3" fillId="0" borderId="0"/>
    <xf numFmtId="44" fontId="3" fillId="0" borderId="0" applyFont="0" applyFill="0" applyBorder="0" applyAlignment="0" applyProtection="0"/>
    <xf numFmtId="43" fontId="15" fillId="0" borderId="0" applyFont="0" applyFill="0" applyBorder="0" applyAlignment="0" applyProtection="0"/>
    <xf numFmtId="0" fontId="15" fillId="0" borderId="0"/>
    <xf numFmtId="0" fontId="3" fillId="0" borderId="0"/>
    <xf numFmtId="43" fontId="3" fillId="0" borderId="0" applyFont="0" applyFill="0" applyBorder="0" applyAlignment="0" applyProtection="0"/>
    <xf numFmtId="41" fontId="15"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43" fontId="20" fillId="0" borderId="0" applyFont="0" applyFill="0" applyBorder="0" applyAlignment="0" applyProtection="0"/>
    <xf numFmtId="9" fontId="3" fillId="0" borderId="0" applyFont="0" applyFill="0" applyBorder="0" applyAlignment="0" applyProtection="0"/>
    <xf numFmtId="169" fontId="20" fillId="0" borderId="0" applyProtection="0"/>
    <xf numFmtId="0" fontId="18" fillId="0" borderId="0">
      <alignment vertical="top"/>
    </xf>
    <xf numFmtId="44" fontId="3" fillId="0" borderId="0" applyFont="0" applyFill="0" applyBorder="0" applyAlignment="0" applyProtection="0"/>
    <xf numFmtId="0" fontId="3" fillId="0" borderId="0"/>
    <xf numFmtId="169" fontId="20" fillId="0" borderId="0" applyProtection="0"/>
    <xf numFmtId="43" fontId="20" fillId="0" borderId="0" applyFont="0" applyFill="0" applyBorder="0" applyAlignment="0" applyProtection="0"/>
    <xf numFmtId="43" fontId="20" fillId="0" borderId="0" applyFont="0" applyFill="0" applyBorder="0" applyAlignment="0" applyProtection="0"/>
    <xf numFmtId="169" fontId="20" fillId="0" borderId="0" applyProtection="0"/>
    <xf numFmtId="43" fontId="20" fillId="0" borderId="0" applyFont="0" applyFill="0" applyBorder="0" applyAlignment="0" applyProtection="0"/>
    <xf numFmtId="169" fontId="20" fillId="0" borderId="0" applyProtection="0"/>
    <xf numFmtId="169" fontId="20" fillId="0" borderId="0" applyProtection="0"/>
    <xf numFmtId="0" fontId="15" fillId="0" borderId="0"/>
    <xf numFmtId="188" fontId="104" fillId="0" borderId="0" applyFont="0" applyFill="0" applyBorder="0" applyAlignment="0" applyProtection="0"/>
    <xf numFmtId="189" fontId="104" fillId="0" borderId="0" applyFont="0" applyFill="0" applyBorder="0" applyAlignment="0" applyProtection="0"/>
    <xf numFmtId="190" fontId="104" fillId="0" borderId="0" applyFont="0" applyFill="0" applyBorder="0" applyAlignment="0" applyProtection="0"/>
    <xf numFmtId="191" fontId="104" fillId="0" borderId="0" applyFont="0" applyFill="0" applyBorder="0" applyAlignment="0" applyProtection="0"/>
    <xf numFmtId="192" fontId="104" fillId="0" borderId="0" applyFont="0" applyFill="0" applyBorder="0" applyAlignment="0" applyProtection="0"/>
    <xf numFmtId="193" fontId="104" fillId="0" borderId="0" applyFont="0" applyFill="0" applyBorder="0" applyAlignment="0" applyProtection="0"/>
    <xf numFmtId="0" fontId="24" fillId="0" borderId="0"/>
    <xf numFmtId="194" fontId="15" fillId="71" borderId="0" applyNumberFormat="0" applyFill="0" applyBorder="0" applyAlignment="0" applyProtection="0">
      <alignment horizontal="right" vertical="center"/>
    </xf>
    <xf numFmtId="194" fontId="100" fillId="0" borderId="0" applyNumberFormat="0" applyFill="0" applyBorder="0" applyAlignment="0" applyProtection="0"/>
    <xf numFmtId="0" fontId="15" fillId="0" borderId="4" applyNumberFormat="0" applyFont="0" applyFill="0" applyAlignment="0" applyProtection="0"/>
    <xf numFmtId="195" fontId="99" fillId="0" borderId="0" applyFont="0" applyFill="0" applyBorder="0" applyAlignment="0" applyProtection="0"/>
    <xf numFmtId="196" fontId="104" fillId="0" borderId="0" applyFont="0" applyFill="0" applyBorder="0" applyProtection="0">
      <alignment horizontal="left"/>
    </xf>
    <xf numFmtId="197" fontId="104" fillId="0" borderId="0" applyFont="0" applyFill="0" applyBorder="0" applyProtection="0">
      <alignment horizontal="left"/>
    </xf>
    <xf numFmtId="198" fontId="104" fillId="0" borderId="0" applyFont="0" applyFill="0" applyBorder="0" applyProtection="0">
      <alignment horizontal="left"/>
    </xf>
    <xf numFmtId="37" fontId="105" fillId="0" borderId="0" applyFont="0" applyFill="0" applyBorder="0" applyAlignment="0" applyProtection="0">
      <alignment vertical="center"/>
      <protection locked="0"/>
    </xf>
    <xf numFmtId="199" fontId="54" fillId="0" borderId="0" applyFont="0" applyFill="0" applyBorder="0" applyAlignment="0" applyProtection="0"/>
    <xf numFmtId="0" fontId="106" fillId="0" borderId="0"/>
    <xf numFmtId="0" fontId="106" fillId="0" borderId="0"/>
    <xf numFmtId="169" fontId="27" fillId="0" borderId="0" applyFill="0"/>
    <xf numFmtId="169" fontId="27" fillId="0" borderId="0">
      <alignment horizontal="center"/>
    </xf>
    <xf numFmtId="0" fontId="27" fillId="0" borderId="0" applyFill="0">
      <alignment horizontal="center"/>
    </xf>
    <xf numFmtId="169" fontId="21" fillId="0" borderId="70" applyFill="0"/>
    <xf numFmtId="0" fontId="15" fillId="0" borderId="0" applyFont="0" applyAlignment="0"/>
    <xf numFmtId="0" fontId="30" fillId="0" borderId="0" applyFill="0">
      <alignment vertical="top"/>
    </xf>
    <xf numFmtId="0" fontId="21" fillId="0" borderId="0" applyFill="0">
      <alignment horizontal="left" vertical="top"/>
    </xf>
    <xf numFmtId="169" fontId="17" fillId="0" borderId="3" applyFill="0"/>
    <xf numFmtId="0" fontId="15" fillId="0" borderId="0" applyNumberFormat="0" applyFont="0" applyAlignment="0"/>
    <xf numFmtId="0" fontId="30" fillId="0" borderId="0" applyFill="0">
      <alignment wrapText="1"/>
    </xf>
    <xf numFmtId="0" fontId="21" fillId="0" borderId="0" applyFill="0">
      <alignment horizontal="left" vertical="top" wrapText="1"/>
    </xf>
    <xf numFmtId="169" fontId="83" fillId="0" borderId="0" applyFill="0"/>
    <xf numFmtId="0" fontId="84" fillId="0" borderId="0" applyNumberFormat="0" applyFont="0" applyAlignment="0">
      <alignment horizontal="center"/>
    </xf>
    <xf numFmtId="0" fontId="22" fillId="0" borderId="0" applyFill="0">
      <alignment vertical="top" wrapText="1"/>
    </xf>
    <xf numFmtId="0" fontId="17" fillId="0" borderId="0" applyFill="0">
      <alignment horizontal="left" vertical="top" wrapText="1"/>
    </xf>
    <xf numFmtId="169" fontId="15" fillId="0" borderId="0" applyFill="0"/>
    <xf numFmtId="0" fontId="84" fillId="0" borderId="0" applyNumberFormat="0" applyFont="0" applyAlignment="0">
      <alignment horizontal="center"/>
    </xf>
    <xf numFmtId="0" fontId="85" fillId="0" borderId="0" applyFill="0">
      <alignment vertical="center" wrapText="1"/>
    </xf>
    <xf numFmtId="0" fontId="18" fillId="0" borderId="0">
      <alignment horizontal="left" vertical="center" wrapText="1"/>
    </xf>
    <xf numFmtId="169" fontId="24" fillId="0" borderId="0" applyFill="0"/>
    <xf numFmtId="0" fontId="84" fillId="0" borderId="0" applyNumberFormat="0" applyFont="0" applyAlignment="0">
      <alignment horizontal="center"/>
    </xf>
    <xf numFmtId="0" fontId="86" fillId="0" borderId="0" applyFill="0">
      <alignment horizontal="center" vertical="center" wrapText="1"/>
    </xf>
    <xf numFmtId="0" fontId="15" fillId="0" borderId="0" applyFill="0">
      <alignment horizontal="center" vertical="center" wrapText="1"/>
    </xf>
    <xf numFmtId="0" fontId="15" fillId="0" borderId="0" applyFill="0">
      <alignment horizontal="center" vertical="center" wrapText="1"/>
    </xf>
    <xf numFmtId="169" fontId="87" fillId="0" borderId="0" applyFill="0"/>
    <xf numFmtId="0" fontId="84" fillId="0" borderId="0" applyNumberFormat="0" applyFont="0" applyAlignment="0">
      <alignment horizontal="center"/>
    </xf>
    <xf numFmtId="0" fontId="88" fillId="0" borderId="0" applyFill="0">
      <alignment horizontal="center" vertical="center" wrapText="1"/>
    </xf>
    <xf numFmtId="0" fontId="89" fillId="0" borderId="0" applyFill="0">
      <alignment horizontal="center" vertical="center" wrapText="1"/>
    </xf>
    <xf numFmtId="169" fontId="90" fillId="0" borderId="0" applyFill="0"/>
    <xf numFmtId="0" fontId="84" fillId="0" borderId="0" applyNumberFormat="0" applyFont="0" applyAlignment="0">
      <alignment horizontal="center"/>
    </xf>
    <xf numFmtId="0" fontId="91" fillId="0" borderId="0">
      <alignment horizontal="center" wrapText="1"/>
    </xf>
    <xf numFmtId="0" fontId="87" fillId="0" borderId="0" applyFill="0">
      <alignment horizontal="center" wrapText="1"/>
    </xf>
    <xf numFmtId="184" fontId="107" fillId="0" borderId="0" applyFont="0" applyFill="0" applyBorder="0" applyAlignment="0" applyProtection="0">
      <protection locked="0"/>
    </xf>
    <xf numFmtId="200" fontId="107" fillId="0" borderId="0" applyFont="0" applyFill="0" applyBorder="0" applyAlignment="0" applyProtection="0">
      <protection locked="0"/>
    </xf>
    <xf numFmtId="39" fontId="15" fillId="0" borderId="0" applyFont="0" applyFill="0" applyBorder="0" applyAlignment="0" applyProtection="0"/>
    <xf numFmtId="201" fontId="108" fillId="0" borderId="0" applyFont="0" applyFill="0" applyBorder="0" applyAlignment="0" applyProtection="0"/>
    <xf numFmtId="187" fontId="54" fillId="0" borderId="0" applyFont="0" applyFill="0" applyBorder="0" applyAlignment="0" applyProtection="0"/>
    <xf numFmtId="0" fontId="15" fillId="0" borderId="4" applyNumberFormat="0" applyFont="0" applyFill="0" applyBorder="0" applyProtection="0">
      <alignment horizontal="centerContinuous" vertical="center"/>
    </xf>
    <xf numFmtId="0" fontId="36" fillId="0" borderId="0" applyFill="0" applyBorder="0" applyProtection="0">
      <alignment horizontal="center"/>
      <protection locked="0"/>
    </xf>
    <xf numFmtId="0" fontId="15" fillId="0" borderId="0"/>
    <xf numFmtId="0" fontId="109" fillId="0" borderId="0"/>
    <xf numFmtId="0" fontId="109" fillId="0" borderId="0"/>
    <xf numFmtId="0" fontId="109" fillId="0" borderId="0"/>
    <xf numFmtId="0" fontId="109" fillId="0" borderId="0"/>
    <xf numFmtId="0" fontId="109" fillId="0" borderId="0"/>
    <xf numFmtId="0" fontId="109" fillId="0" borderId="0"/>
    <xf numFmtId="0" fontId="109" fillId="0" borderId="0"/>
    <xf numFmtId="202" fontId="104" fillId="0" borderId="0" applyFont="0" applyFill="0" applyBorder="0" applyAlignment="0" applyProtection="0"/>
    <xf numFmtId="203" fontId="104" fillId="0" borderId="0" applyFont="0" applyFill="0" applyBorder="0" applyAlignment="0" applyProtection="0"/>
    <xf numFmtId="204" fontId="104" fillId="0" borderId="0" applyFont="0" applyFill="0" applyBorder="0" applyAlignment="0" applyProtection="0"/>
    <xf numFmtId="205" fontId="102" fillId="0" borderId="0" applyFont="0" applyFill="0" applyBorder="0" applyAlignment="0" applyProtection="0"/>
    <xf numFmtId="206" fontId="110" fillId="0" borderId="0" applyFont="0" applyFill="0" applyBorder="0" applyAlignment="0" applyProtection="0"/>
    <xf numFmtId="207" fontId="110" fillId="0" borderId="0" applyFont="0" applyFill="0" applyBorder="0" applyAlignment="0" applyProtection="0"/>
    <xf numFmtId="208" fontId="83" fillId="0" borderId="0" applyFont="0" applyFill="0" applyBorder="0" applyAlignment="0" applyProtection="0">
      <protection locked="0"/>
    </xf>
    <xf numFmtId="43" fontId="20"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71" fillId="0" borderId="0" applyFont="0" applyFill="0" applyBorder="0" applyAlignment="0" applyProtection="0"/>
    <xf numFmtId="37" fontId="111" fillId="0" borderId="0" applyFill="0" applyBorder="0" applyAlignment="0" applyProtection="0"/>
    <xf numFmtId="3" fontId="15" fillId="0" borderId="0" applyFont="0" applyFill="0" applyBorder="0" applyAlignment="0" applyProtection="0"/>
    <xf numFmtId="0" fontId="21" fillId="0" borderId="0" applyFill="0" applyBorder="0" applyAlignment="0" applyProtection="0">
      <protection locked="0"/>
    </xf>
    <xf numFmtId="209" fontId="104" fillId="0" borderId="0" applyFont="0" applyFill="0" applyBorder="0" applyAlignment="0" applyProtection="0"/>
    <xf numFmtId="210" fontId="104" fillId="0" borderId="0" applyFont="0" applyFill="0" applyBorder="0" applyAlignment="0" applyProtection="0"/>
    <xf numFmtId="211" fontId="104" fillId="0" borderId="0" applyFont="0" applyFill="0" applyBorder="0" applyAlignment="0" applyProtection="0"/>
    <xf numFmtId="212" fontId="110" fillId="0" borderId="0" applyFont="0" applyFill="0" applyBorder="0" applyAlignment="0" applyProtection="0"/>
    <xf numFmtId="213" fontId="110" fillId="0" borderId="0" applyFont="0" applyFill="0" applyBorder="0" applyAlignment="0" applyProtection="0"/>
    <xf numFmtId="214" fontId="110" fillId="0" borderId="0" applyFont="0" applyFill="0" applyBorder="0" applyAlignment="0" applyProtection="0"/>
    <xf numFmtId="215" fontId="83" fillId="0" borderId="0" applyFont="0" applyFill="0" applyBorder="0" applyAlignment="0" applyProtection="0">
      <protection locked="0"/>
    </xf>
    <xf numFmtId="5" fontId="111" fillId="0" borderId="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216" fontId="54" fillId="0" borderId="0" applyFont="0" applyFill="0" applyBorder="0" applyAlignment="0" applyProtection="0"/>
    <xf numFmtId="186" fontId="15" fillId="0" borderId="0" applyFont="0" applyFill="0" applyBorder="0" applyAlignment="0" applyProtection="0"/>
    <xf numFmtId="217" fontId="107" fillId="0" borderId="0" applyFont="0" applyFill="0" applyBorder="0" applyAlignment="0" applyProtection="0">
      <protection locked="0"/>
    </xf>
    <xf numFmtId="7" fontId="27" fillId="0" borderId="0" applyFont="0" applyFill="0" applyBorder="0" applyAlignment="0" applyProtection="0"/>
    <xf numFmtId="218" fontId="108" fillId="0" borderId="0" applyFont="0" applyFill="0" applyBorder="0" applyAlignment="0" applyProtection="0"/>
    <xf numFmtId="185" fontId="112" fillId="0" borderId="0" applyFont="0" applyFill="0" applyBorder="0" applyAlignment="0" applyProtection="0"/>
    <xf numFmtId="0" fontId="113" fillId="72" borderId="71" applyNumberFormat="0" applyFont="0" applyFill="0" applyAlignment="0" applyProtection="0">
      <alignment horizontal="left" indent="1"/>
    </xf>
    <xf numFmtId="14" fontId="15" fillId="0" borderId="0" applyFont="0" applyFill="0" applyBorder="0" applyAlignment="0" applyProtection="0"/>
    <xf numFmtId="219" fontId="104" fillId="0" borderId="0" applyFont="0" applyFill="0" applyBorder="0" applyProtection="0"/>
    <xf numFmtId="220" fontId="104" fillId="0" borderId="0" applyFont="0" applyFill="0" applyBorder="0" applyProtection="0"/>
    <xf numFmtId="221" fontId="104" fillId="0" borderId="0" applyFont="0" applyFill="0" applyBorder="0" applyAlignment="0" applyProtection="0"/>
    <xf numFmtId="222" fontId="104" fillId="0" borderId="0" applyFont="0" applyFill="0" applyBorder="0" applyAlignment="0" applyProtection="0"/>
    <xf numFmtId="223" fontId="104" fillId="0" borderId="0" applyFont="0" applyFill="0" applyBorder="0" applyAlignment="0" applyProtection="0"/>
    <xf numFmtId="224" fontId="114" fillId="0" borderId="0" applyFont="0" applyFill="0" applyBorder="0" applyAlignment="0" applyProtection="0"/>
    <xf numFmtId="5" fontId="115" fillId="0" borderId="0" applyBorder="0"/>
    <xf numFmtId="186" fontId="115" fillId="0" borderId="0" applyBorder="0"/>
    <xf numFmtId="7" fontId="115" fillId="0" borderId="0" applyBorder="0"/>
    <xf numFmtId="37" fontId="115" fillId="0" borderId="0" applyBorder="0"/>
    <xf numFmtId="184" fontId="115" fillId="0" borderId="0" applyBorder="0"/>
    <xf numFmtId="225" fontId="115" fillId="0" borderId="0" applyBorder="0"/>
    <xf numFmtId="39" fontId="115" fillId="0" borderId="0" applyBorder="0"/>
    <xf numFmtId="226" fontId="115" fillId="0" borderId="0" applyBorder="0"/>
    <xf numFmtId="7" fontId="15" fillId="0" borderId="0" applyFont="0" applyFill="0" applyBorder="0" applyAlignment="0" applyProtection="0"/>
    <xf numFmtId="227" fontId="54" fillId="0" borderId="0" applyFont="0" applyFill="0" applyBorder="0" applyAlignment="0" applyProtection="0"/>
    <xf numFmtId="228" fontId="54" fillId="0" borderId="0" applyFont="0" applyFill="0" applyAlignment="0" applyProtection="0"/>
    <xf numFmtId="227" fontId="54" fillId="0" borderId="0" applyFont="0" applyFill="0" applyBorder="0" applyAlignment="0" applyProtection="0"/>
    <xf numFmtId="175" fontId="27" fillId="0" borderId="0" applyFont="0" applyFill="0" applyBorder="0" applyAlignment="0" applyProtection="0"/>
    <xf numFmtId="2" fontId="15" fillId="0" borderId="0" applyFont="0" applyFill="0" applyBorder="0" applyAlignment="0" applyProtection="0"/>
    <xf numFmtId="0" fontId="116" fillId="0" borderId="0"/>
    <xf numFmtId="184" fontId="117" fillId="0" borderId="0" applyNumberFormat="0" applyFill="0" applyBorder="0" applyAlignment="0" applyProtection="0"/>
    <xf numFmtId="0" fontId="27" fillId="0" borderId="0" applyFont="0" applyFill="0" applyBorder="0" applyAlignment="0" applyProtection="0"/>
    <xf numFmtId="0" fontId="104" fillId="0" borderId="0" applyFont="0" applyFill="0" applyBorder="0" applyProtection="0">
      <alignment horizontal="center" wrapText="1"/>
    </xf>
    <xf numFmtId="229" fontId="104" fillId="0" borderId="0" applyFont="0" applyFill="0" applyBorder="0" applyProtection="0">
      <alignment horizontal="right"/>
    </xf>
    <xf numFmtId="0" fontId="117" fillId="0" borderId="0" applyNumberFormat="0" applyFill="0" applyBorder="0" applyAlignment="0" applyProtection="0"/>
    <xf numFmtId="0" fontId="118" fillId="73" borderId="0" applyNumberFormat="0" applyFill="0" applyBorder="0" applyAlignment="0" applyProtection="0"/>
    <xf numFmtId="0" fontId="17" fillId="0" borderId="12" applyNumberFormat="0" applyAlignment="0" applyProtection="0">
      <alignment horizontal="left" vertical="center"/>
    </xf>
    <xf numFmtId="0" fontId="17" fillId="0" borderId="22">
      <alignment horizontal="left" vertical="center"/>
    </xf>
    <xf numFmtId="14" fontId="16" fillId="74" borderId="2">
      <alignment horizontal="center" vertical="center" wrapText="1"/>
    </xf>
    <xf numFmtId="0" fontId="92"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36" fillId="0" borderId="0" applyFill="0" applyAlignment="0" applyProtection="0">
      <protection locked="0"/>
    </xf>
    <xf numFmtId="0" fontId="36" fillId="0" borderId="4" applyFill="0" applyAlignment="0" applyProtection="0">
      <protection locked="0"/>
    </xf>
    <xf numFmtId="0" fontId="93" fillId="0" borderId="2"/>
    <xf numFmtId="0" fontId="94" fillId="0" borderId="0"/>
    <xf numFmtId="0" fontId="119" fillId="0" borderId="4" applyNumberFormat="0" applyFill="0" applyAlignment="0" applyProtection="0"/>
    <xf numFmtId="0" fontId="114" fillId="75" borderId="0" applyNumberFormat="0" applyFont="0" applyBorder="0" applyAlignment="0" applyProtection="0"/>
    <xf numFmtId="0" fontId="101" fillId="10" borderId="13" applyNumberFormat="0" applyAlignment="0" applyProtection="0"/>
    <xf numFmtId="230" fontId="104" fillId="0" borderId="0" applyFont="0" applyFill="0" applyBorder="0" applyProtection="0">
      <alignment horizontal="left"/>
    </xf>
    <xf numFmtId="231" fontId="104" fillId="0" borderId="0" applyFont="0" applyFill="0" applyBorder="0" applyProtection="0">
      <alignment horizontal="left"/>
    </xf>
    <xf numFmtId="232" fontId="104" fillId="0" borderId="0" applyFont="0" applyFill="0" applyBorder="0" applyProtection="0">
      <alignment horizontal="left"/>
    </xf>
    <xf numFmtId="233" fontId="104" fillId="0" borderId="0" applyFont="0" applyFill="0" applyBorder="0" applyProtection="0">
      <alignment horizontal="left"/>
    </xf>
    <xf numFmtId="10" fontId="27" fillId="76" borderId="13" applyNumberFormat="0" applyBorder="0" applyAlignment="0" applyProtection="0"/>
    <xf numFmtId="5" fontId="120" fillId="0" borderId="0" applyBorder="0"/>
    <xf numFmtId="186" fontId="120" fillId="0" borderId="0" applyBorder="0"/>
    <xf numFmtId="7" fontId="120" fillId="0" borderId="0" applyBorder="0"/>
    <xf numFmtId="37" fontId="120" fillId="0" borderId="0" applyBorder="0"/>
    <xf numFmtId="184" fontId="120" fillId="0" borderId="0" applyBorder="0"/>
    <xf numFmtId="225" fontId="120" fillId="0" borderId="0" applyBorder="0"/>
    <xf numFmtId="39" fontId="120" fillId="0" borderId="0" applyBorder="0"/>
    <xf numFmtId="226" fontId="120" fillId="0" borderId="0" applyBorder="0"/>
    <xf numFmtId="0" fontId="114" fillId="0" borderId="66" applyNumberFormat="0" applyFont="0" applyFill="0" applyAlignment="0" applyProtection="0"/>
    <xf numFmtId="0" fontId="121" fillId="0" borderId="0"/>
    <xf numFmtId="0" fontId="27" fillId="4" borderId="0"/>
    <xf numFmtId="234" fontId="15" fillId="0" borderId="0" applyFont="0" applyFill="0" applyBorder="0" applyAlignment="0" applyProtection="0"/>
    <xf numFmtId="235" fontId="15" fillId="0" borderId="0" applyFont="0" applyFill="0" applyBorder="0" applyAlignment="0" applyProtection="0"/>
    <xf numFmtId="236" fontId="15" fillId="0" borderId="0" applyFont="0" applyFill="0" applyBorder="0" applyAlignment="0" applyProtection="0"/>
    <xf numFmtId="237" fontId="15" fillId="0" borderId="0" applyFont="0" applyFill="0" applyBorder="0" applyAlignment="0" applyProtection="0"/>
    <xf numFmtId="0" fontId="15" fillId="0" borderId="0" applyFont="0" applyFill="0" applyBorder="0" applyAlignment="0" applyProtection="0">
      <alignment horizontal="right"/>
    </xf>
    <xf numFmtId="238" fontId="15" fillId="0" borderId="0" applyFont="0" applyFill="0" applyBorder="0" applyAlignment="0" applyProtection="0"/>
    <xf numFmtId="37" fontId="122" fillId="0" borderId="0"/>
    <xf numFmtId="0" fontId="54" fillId="0" borderId="0"/>
    <xf numFmtId="0" fontId="2" fillId="0" borderId="0"/>
    <xf numFmtId="7" fontId="132" fillId="0" borderId="0"/>
    <xf numFmtId="0" fontId="102" fillId="0" borderId="0"/>
    <xf numFmtId="0" fontId="1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9" fontId="20" fillId="0" borderId="0" applyProtection="0"/>
    <xf numFmtId="0" fontId="2" fillId="0" borderId="0"/>
    <xf numFmtId="0" fontId="2" fillId="0" borderId="0"/>
    <xf numFmtId="0" fontId="2" fillId="0" borderId="0"/>
    <xf numFmtId="0" fontId="2" fillId="0" borderId="0"/>
    <xf numFmtId="0" fontId="99" fillId="77" borderId="0" applyNumberFormat="0" applyFont="0" applyBorder="0" applyAlignment="0"/>
    <xf numFmtId="239" fontId="15" fillId="0" borderId="0" applyFont="0" applyFill="0" applyBorder="0" applyAlignment="0" applyProtection="0"/>
    <xf numFmtId="240" fontId="123"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1" fontId="15" fillId="0" borderId="0"/>
    <xf numFmtId="242" fontId="54" fillId="0" borderId="0"/>
    <xf numFmtId="242" fontId="54" fillId="0" borderId="0"/>
    <xf numFmtId="240" fontId="123" fillId="0" borderId="0"/>
    <xf numFmtId="0" fontId="54" fillId="0" borderId="0"/>
    <xf numFmtId="240" fontId="111" fillId="0" borderId="0"/>
    <xf numFmtId="241" fontId="15" fillId="0" borderId="0"/>
    <xf numFmtId="242" fontId="54" fillId="0" borderId="0"/>
    <xf numFmtId="242" fontId="54" fillId="0" borderId="0"/>
    <xf numFmtId="0" fontId="54" fillId="0" borderId="0"/>
    <xf numFmtId="0" fontId="54" fillId="0" borderId="0"/>
    <xf numFmtId="243" fontId="54" fillId="0" borderId="0"/>
    <xf numFmtId="173" fontId="54" fillId="0" borderId="0"/>
    <xf numFmtId="244" fontId="54" fillId="0" borderId="0"/>
    <xf numFmtId="243" fontId="54" fillId="0" borderId="0"/>
    <xf numFmtId="173" fontId="54" fillId="0" borderId="0"/>
    <xf numFmtId="245" fontId="54" fillId="0" borderId="0"/>
    <xf numFmtId="245" fontId="54" fillId="0" borderId="0"/>
    <xf numFmtId="183" fontId="54" fillId="0" borderId="0"/>
    <xf numFmtId="244" fontId="54" fillId="0" borderId="0"/>
    <xf numFmtId="165" fontId="54" fillId="0" borderId="0"/>
    <xf numFmtId="183" fontId="54" fillId="0" borderId="0"/>
    <xf numFmtId="183" fontId="54" fillId="0" borderId="0"/>
    <xf numFmtId="0" fontId="54" fillId="0" borderId="0"/>
    <xf numFmtId="239" fontId="15" fillId="0" borderId="0" applyFont="0" applyFill="0" applyBorder="0" applyAlignment="0" applyProtection="0"/>
    <xf numFmtId="239" fontId="15" fillId="0" borderId="0" applyFont="0" applyFill="0" applyBorder="0" applyAlignment="0" applyProtection="0"/>
    <xf numFmtId="239" fontId="15" fillId="0" borderId="0" applyFont="0" applyFill="0" applyBorder="0" applyAlignment="0" applyProtection="0"/>
    <xf numFmtId="240" fontId="123" fillId="0" borderId="0"/>
    <xf numFmtId="240" fontId="123" fillId="0" borderId="0"/>
    <xf numFmtId="239" fontId="15" fillId="0" borderId="0" applyFont="0" applyFill="0" applyBorder="0" applyAlignment="0" applyProtection="0"/>
    <xf numFmtId="240" fontId="123" fillId="0" borderId="0"/>
    <xf numFmtId="240" fontId="123" fillId="0" borderId="0"/>
    <xf numFmtId="243" fontId="54" fillId="0" borderId="0"/>
    <xf numFmtId="173" fontId="54" fillId="0" borderId="0"/>
    <xf numFmtId="244" fontId="54" fillId="0" borderId="0"/>
    <xf numFmtId="243" fontId="54" fillId="0" borderId="0"/>
    <xf numFmtId="173" fontId="54" fillId="0" borderId="0"/>
    <xf numFmtId="245" fontId="54" fillId="0" borderId="0"/>
    <xf numFmtId="245" fontId="54" fillId="0" borderId="0"/>
    <xf numFmtId="183" fontId="54" fillId="0" borderId="0"/>
    <xf numFmtId="244" fontId="54" fillId="0" borderId="0"/>
    <xf numFmtId="165" fontId="54" fillId="0" borderId="0"/>
    <xf numFmtId="183" fontId="54" fillId="0" borderId="0"/>
    <xf numFmtId="183" fontId="54" fillId="0" borderId="0"/>
    <xf numFmtId="246" fontId="24" fillId="7" borderId="0" applyFont="0" applyFill="0" applyBorder="0" applyAlignment="0" applyProtection="0"/>
    <xf numFmtId="247" fontId="24" fillId="7" borderId="0" applyFont="0" applyFill="0" applyBorder="0" applyAlignment="0" applyProtection="0"/>
    <xf numFmtId="248" fontId="15" fillId="0" borderId="0" applyFont="0" applyFill="0" applyBorder="0" applyAlignment="0" applyProtection="0"/>
    <xf numFmtId="249" fontId="110" fillId="0" borderId="0" applyFont="0" applyFill="0" applyBorder="0" applyAlignment="0" applyProtection="0"/>
    <xf numFmtId="250" fontId="102" fillId="0" borderId="0" applyFont="0" applyFill="0" applyBorder="0" applyAlignment="0" applyProtection="0"/>
    <xf numFmtId="251" fontId="15" fillId="0" borderId="0" applyFont="0" applyFill="0" applyBorder="0" applyAlignment="0" applyProtection="0"/>
    <xf numFmtId="252" fontId="104" fillId="0" borderId="0" applyFont="0" applyFill="0" applyBorder="0" applyAlignment="0" applyProtection="0"/>
    <xf numFmtId="253" fontId="104" fillId="0" borderId="0" applyFont="0" applyFill="0" applyBorder="0" applyAlignment="0" applyProtection="0"/>
    <xf numFmtId="254" fontId="104" fillId="0" borderId="0" applyFont="0" applyFill="0" applyBorder="0" applyAlignment="0" applyProtection="0"/>
    <xf numFmtId="255" fontId="104" fillId="0" borderId="0" applyFont="0" applyFill="0" applyBorder="0" applyAlignment="0" applyProtection="0"/>
    <xf numFmtId="256" fontId="110" fillId="0" borderId="0" applyFont="0" applyFill="0" applyBorder="0" applyAlignment="0" applyProtection="0"/>
    <xf numFmtId="257" fontId="102" fillId="0" borderId="0" applyFont="0" applyFill="0" applyBorder="0" applyAlignment="0" applyProtection="0"/>
    <xf numFmtId="258" fontId="110" fillId="0" borderId="0" applyFont="0" applyFill="0" applyBorder="0" applyAlignment="0" applyProtection="0"/>
    <xf numFmtId="259" fontId="102" fillId="0" borderId="0" applyFont="0" applyFill="0" applyBorder="0" applyAlignment="0" applyProtection="0"/>
    <xf numFmtId="260" fontId="110" fillId="0" borderId="0" applyFont="0" applyFill="0" applyBorder="0" applyAlignment="0" applyProtection="0"/>
    <xf numFmtId="261" fontId="102" fillId="0" borderId="0" applyFont="0" applyFill="0" applyBorder="0" applyAlignment="0" applyProtection="0"/>
    <xf numFmtId="262" fontId="83" fillId="0" borderId="0" applyFont="0" applyFill="0" applyBorder="0" applyAlignment="0" applyProtection="0">
      <protection locked="0"/>
    </xf>
    <xf numFmtId="263" fontId="102" fillId="0" borderId="0" applyFont="0" applyFill="0" applyBorder="0" applyAlignment="0" applyProtection="0"/>
    <xf numFmtId="9" fontId="33" fillId="0" borderId="0" applyFont="0" applyFill="0" applyBorder="0" applyAlignment="0" applyProtection="0"/>
    <xf numFmtId="194" fontId="111" fillId="0" borderId="0" applyFill="0" applyBorder="0" applyAlignment="0" applyProtection="0"/>
    <xf numFmtId="9" fontId="115" fillId="0" borderId="0" applyBorder="0"/>
    <xf numFmtId="170" fontId="115" fillId="0" borderId="0" applyBorder="0"/>
    <xf numFmtId="10" fontId="115" fillId="0" borderId="0" applyBorder="0"/>
    <xf numFmtId="3" fontId="15" fillId="0" borderId="0">
      <alignment horizontal="left" vertical="top"/>
    </xf>
    <xf numFmtId="169" fontId="20" fillId="0" borderId="0" applyProtection="0"/>
    <xf numFmtId="3" fontId="15" fillId="0" borderId="0">
      <alignment horizontal="right" vertical="top"/>
    </xf>
    <xf numFmtId="41" fontId="18" fillId="4" borderId="72" applyFill="0"/>
    <xf numFmtId="0" fontId="95" fillId="0" borderId="0">
      <alignment horizontal="left" indent="7"/>
    </xf>
    <xf numFmtId="41" fontId="18" fillId="0" borderId="72" applyFill="0">
      <alignment horizontal="left" indent="2"/>
    </xf>
    <xf numFmtId="169" fontId="36" fillId="0" borderId="4" applyFill="0">
      <alignment horizontal="right"/>
    </xf>
    <xf numFmtId="0" fontId="16" fillId="0" borderId="13" applyNumberFormat="0" applyFont="0" applyBorder="0">
      <alignment horizontal="right"/>
    </xf>
    <xf numFmtId="0" fontId="96" fillId="0" borderId="0" applyFill="0"/>
    <xf numFmtId="0" fontId="17" fillId="0" borderId="0" applyFill="0"/>
    <xf numFmtId="4" fontId="36" fillId="0" borderId="4" applyFill="0"/>
    <xf numFmtId="0" fontId="15" fillId="0" borderId="0" applyNumberFormat="0" applyFont="0" applyBorder="0" applyAlignment="0"/>
    <xf numFmtId="0" fontId="22" fillId="0" borderId="0" applyFill="0">
      <alignment horizontal="left" indent="1"/>
    </xf>
    <xf numFmtId="0" fontId="97" fillId="0" borderId="0" applyFill="0">
      <alignment horizontal="left" indent="1"/>
    </xf>
    <xf numFmtId="4" fontId="24" fillId="0" borderId="0" applyFill="0"/>
    <xf numFmtId="0" fontId="15" fillId="0" borderId="0" applyNumberFormat="0" applyFont="0" applyFill="0" applyBorder="0" applyAlignment="0"/>
    <xf numFmtId="0" fontId="22" fillId="0" borderId="0" applyFill="0">
      <alignment horizontal="left" indent="2"/>
    </xf>
    <xf numFmtId="0" fontId="17" fillId="0" borderId="0" applyFill="0">
      <alignment horizontal="left" indent="2"/>
    </xf>
    <xf numFmtId="4" fontId="24" fillId="0" borderId="0" applyFill="0"/>
    <xf numFmtId="0" fontId="15" fillId="0" borderId="0" applyNumberFormat="0" applyFont="0" applyBorder="0" applyAlignment="0"/>
    <xf numFmtId="0" fontId="98" fillId="0" borderId="0">
      <alignment horizontal="left" indent="3"/>
    </xf>
    <xf numFmtId="0" fontId="23" fillId="0" borderId="0" applyFill="0">
      <alignment horizontal="left" indent="3"/>
    </xf>
    <xf numFmtId="4" fontId="24" fillId="0" borderId="0" applyFill="0"/>
    <xf numFmtId="0" fontId="15" fillId="0" borderId="0" applyNumberFormat="0" applyFont="0" applyBorder="0" applyAlignment="0"/>
    <xf numFmtId="0" fontId="86" fillId="0" borderId="0">
      <alignment horizontal="left" indent="4"/>
    </xf>
    <xf numFmtId="0" fontId="15" fillId="0" borderId="0" applyFill="0">
      <alignment horizontal="left" indent="4"/>
    </xf>
    <xf numFmtId="0" fontId="15" fillId="0" borderId="0" applyFill="0">
      <alignment horizontal="left" indent="4"/>
    </xf>
    <xf numFmtId="4" fontId="87" fillId="0" borderId="0" applyFill="0"/>
    <xf numFmtId="0" fontId="15" fillId="0" borderId="0" applyNumberFormat="0" applyFont="0" applyBorder="0" applyAlignment="0"/>
    <xf numFmtId="0" fontId="88" fillId="0" borderId="0">
      <alignment horizontal="left" indent="5"/>
    </xf>
    <xf numFmtId="0" fontId="89" fillId="0" borderId="0" applyFill="0">
      <alignment horizontal="left" indent="5"/>
    </xf>
    <xf numFmtId="4" fontId="90" fillId="0" borderId="0" applyFill="0"/>
    <xf numFmtId="0" fontId="15" fillId="0" borderId="0" applyNumberFormat="0" applyFont="0" applyFill="0" applyBorder="0" applyAlignment="0"/>
    <xf numFmtId="0" fontId="91" fillId="0" borderId="0" applyFill="0">
      <alignment horizontal="left" indent="6"/>
    </xf>
    <xf numFmtId="0" fontId="87" fillId="0" borderId="0" applyFill="0">
      <alignment horizontal="left" indent="6"/>
    </xf>
    <xf numFmtId="0" fontId="114" fillId="0" borderId="73" applyNumberFormat="0" applyFont="0" applyFill="0" applyAlignment="0" applyProtection="0"/>
    <xf numFmtId="0" fontId="124" fillId="0" borderId="0" applyNumberFormat="0" applyFill="0" applyBorder="0" applyAlignment="0" applyProtection="0"/>
    <xf numFmtId="0" fontId="125" fillId="0" borderId="0"/>
    <xf numFmtId="0" fontId="125" fillId="0" borderId="0"/>
    <xf numFmtId="0" fontId="103" fillId="0" borderId="2">
      <alignment horizontal="right"/>
    </xf>
    <xf numFmtId="264" fontId="112" fillId="0" borderId="0">
      <alignment horizontal="center"/>
    </xf>
    <xf numFmtId="265" fontId="126" fillId="0" borderId="0">
      <alignment horizontal="center"/>
    </xf>
    <xf numFmtId="0" fontId="127" fillId="0" borderId="0" applyNumberFormat="0" applyFill="0" applyBorder="0" applyAlignment="0" applyProtection="0"/>
    <xf numFmtId="0" fontId="71" fillId="0" borderId="0" applyNumberFormat="0" applyBorder="0" applyAlignment="0"/>
    <xf numFmtId="0" fontId="70" fillId="0" borderId="0" applyNumberFormat="0" applyBorder="0" applyAlignment="0"/>
    <xf numFmtId="0" fontId="114" fillId="72" borderId="0" applyNumberFormat="0" applyFont="0" applyBorder="0" applyAlignment="0" applyProtection="0"/>
    <xf numFmtId="246" fontId="128" fillId="0" borderId="22" applyNumberFormat="0" applyFont="0" applyFill="0" applyAlignment="0" applyProtection="0"/>
    <xf numFmtId="0" fontId="19" fillId="0" borderId="0" applyFill="0" applyBorder="0" applyProtection="0">
      <alignment horizontal="left" vertical="top"/>
    </xf>
    <xf numFmtId="0" fontId="129" fillId="0" borderId="0" applyAlignment="0">
      <alignment horizontal="centerContinuous"/>
    </xf>
    <xf numFmtId="0" fontId="15" fillId="0" borderId="3" applyNumberFormat="0" applyFont="0" applyFill="0" applyAlignment="0" applyProtection="0"/>
    <xf numFmtId="0" fontId="15" fillId="0" borderId="0" applyFont="0" applyFill="0" applyBorder="0" applyAlignment="0" applyProtection="0"/>
    <xf numFmtId="0" fontId="130" fillId="0" borderId="0" applyNumberFormat="0" applyFill="0" applyBorder="0" applyAlignment="0" applyProtection="0"/>
    <xf numFmtId="266" fontId="102" fillId="0" borderId="0" applyFont="0" applyFill="0" applyBorder="0" applyAlignment="0" applyProtection="0"/>
    <xf numFmtId="267" fontId="102" fillId="0" borderId="0" applyFont="0" applyFill="0" applyBorder="0" applyAlignment="0" applyProtection="0"/>
    <xf numFmtId="268" fontId="102" fillId="0" borderId="0" applyFont="0" applyFill="0" applyBorder="0" applyAlignment="0" applyProtection="0"/>
    <xf numFmtId="269" fontId="102" fillId="0" borderId="0" applyFont="0" applyFill="0" applyBorder="0" applyAlignment="0" applyProtection="0"/>
    <xf numFmtId="270" fontId="102" fillId="0" borderId="0" applyFont="0" applyFill="0" applyBorder="0" applyAlignment="0" applyProtection="0"/>
    <xf numFmtId="271" fontId="102" fillId="0" borderId="0" applyFont="0" applyFill="0" applyBorder="0" applyAlignment="0" applyProtection="0"/>
    <xf numFmtId="272" fontId="102" fillId="0" borderId="0" applyFont="0" applyFill="0" applyBorder="0" applyAlignment="0" applyProtection="0"/>
    <xf numFmtId="273" fontId="102" fillId="0" borderId="0" applyFont="0" applyFill="0" applyBorder="0" applyAlignment="0" applyProtection="0"/>
    <xf numFmtId="274" fontId="131" fillId="72" borderId="74" applyFont="0" applyFill="0" applyBorder="0" applyAlignment="0" applyProtection="0"/>
    <xf numFmtId="274" fontId="54" fillId="0" borderId="0" applyFont="0" applyFill="0" applyBorder="0" applyAlignment="0" applyProtection="0"/>
    <xf numFmtId="275" fontId="108" fillId="0" borderId="0" applyFont="0" applyFill="0" applyBorder="0" applyAlignment="0" applyProtection="0"/>
    <xf numFmtId="276" fontId="112" fillId="0" borderId="22" applyFont="0" applyFill="0" applyBorder="0" applyAlignment="0" applyProtection="0">
      <alignment horizontal="right"/>
      <protection locked="0"/>
    </xf>
    <xf numFmtId="43" fontId="33" fillId="0" borderId="0" applyFont="0" applyFill="0" applyBorder="0" applyAlignment="0" applyProtection="0"/>
    <xf numFmtId="0" fontId="18" fillId="0" borderId="0"/>
    <xf numFmtId="43" fontId="7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2" fillId="0" borderId="0"/>
    <xf numFmtId="0" fontId="2" fillId="0" borderId="0"/>
    <xf numFmtId="0" fontId="2" fillId="0" borderId="0"/>
    <xf numFmtId="0" fontId="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5" fillId="0" borderId="0"/>
    <xf numFmtId="0" fontId="25" fillId="0" borderId="0"/>
    <xf numFmtId="0" fontId="82" fillId="0" borderId="0"/>
    <xf numFmtId="0" fontId="82" fillId="0" borderId="0"/>
    <xf numFmtId="0" fontId="82" fillId="0" borderId="0"/>
    <xf numFmtId="0" fontId="82" fillId="0" borderId="0"/>
    <xf numFmtId="0" fontId="15"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82" fillId="0" borderId="0"/>
    <xf numFmtId="0" fontId="15" fillId="0" borderId="0"/>
    <xf numFmtId="0" fontId="15" fillId="0" borderId="0"/>
    <xf numFmtId="0" fontId="15" fillId="0" borderId="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15" fillId="0" borderId="0"/>
    <xf numFmtId="0" fontId="134" fillId="43" borderId="0" applyNumberFormat="0" applyBorder="0" applyAlignment="0" applyProtection="0"/>
    <xf numFmtId="0" fontId="134" fillId="45" borderId="0" applyNumberFormat="0" applyBorder="0" applyAlignment="0" applyProtection="0"/>
    <xf numFmtId="0" fontId="134" fillId="47" borderId="0" applyNumberFormat="0" applyBorder="0" applyAlignment="0" applyProtection="0"/>
    <xf numFmtId="0" fontId="134" fillId="48" borderId="0" applyNumberFormat="0" applyBorder="0" applyAlignment="0" applyProtection="0"/>
    <xf numFmtId="0" fontId="134" fillId="50" borderId="0" applyNumberFormat="0" applyBorder="0" applyAlignment="0" applyProtection="0"/>
    <xf numFmtId="0" fontId="134" fillId="44" borderId="0" applyNumberFormat="0" applyBorder="0" applyAlignment="0" applyProtection="0"/>
    <xf numFmtId="0" fontId="134" fillId="52" borderId="0" applyNumberFormat="0" applyBorder="0" applyAlignment="0" applyProtection="0"/>
    <xf numFmtId="0" fontId="134" fillId="53" borderId="0" applyNumberFormat="0" applyBorder="0" applyAlignment="0" applyProtection="0"/>
    <xf numFmtId="0" fontId="134" fillId="55" borderId="0" applyNumberFormat="0" applyBorder="0" applyAlignment="0" applyProtection="0"/>
    <xf numFmtId="0" fontId="134" fillId="48" borderId="0" applyNumberFormat="0" applyBorder="0" applyAlignment="0" applyProtection="0"/>
    <xf numFmtId="0" fontId="134" fillId="52" borderId="0" applyNumberFormat="0" applyBorder="0" applyAlignment="0" applyProtection="0"/>
    <xf numFmtId="0" fontId="134" fillId="56" borderId="0" applyNumberFormat="0" applyBorder="0" applyAlignment="0" applyProtection="0"/>
    <xf numFmtId="0" fontId="135" fillId="58" borderId="0" applyNumberFormat="0" applyBorder="0" applyAlignment="0" applyProtection="0"/>
    <xf numFmtId="0" fontId="135" fillId="53" borderId="0" applyNumberFormat="0" applyBorder="0" applyAlignment="0" applyProtection="0"/>
    <xf numFmtId="0" fontId="135" fillId="55" borderId="0" applyNumberFormat="0" applyBorder="0" applyAlignment="0" applyProtection="0"/>
    <xf numFmtId="0" fontId="135" fillId="59" borderId="0" applyNumberFormat="0" applyBorder="0" applyAlignment="0" applyProtection="0"/>
    <xf numFmtId="0" fontId="135" fillId="57" borderId="0" applyNumberFormat="0" applyBorder="0" applyAlignment="0" applyProtection="0"/>
    <xf numFmtId="0" fontId="135" fillId="60" borderId="0" applyNumberFormat="0" applyBorder="0" applyAlignment="0" applyProtection="0"/>
    <xf numFmtId="0" fontId="135" fillId="61" borderId="0" applyNumberFormat="0" applyBorder="0" applyAlignment="0" applyProtection="0"/>
    <xf numFmtId="0" fontId="135" fillId="62" borderId="0" applyNumberFormat="0" applyBorder="0" applyAlignment="0" applyProtection="0"/>
    <xf numFmtId="0" fontId="135" fillId="63" borderId="0" applyNumberFormat="0" applyBorder="0" applyAlignment="0" applyProtection="0"/>
    <xf numFmtId="0" fontId="135" fillId="59" borderId="0" applyNumberFormat="0" applyBorder="0" applyAlignment="0" applyProtection="0"/>
    <xf numFmtId="0" fontId="135" fillId="57" borderId="0" applyNumberFormat="0" applyBorder="0" applyAlignment="0" applyProtection="0"/>
    <xf numFmtId="0" fontId="135" fillId="65" borderId="0" applyNumberFormat="0" applyBorder="0" applyAlignment="0" applyProtection="0"/>
    <xf numFmtId="0" fontId="136" fillId="45" borderId="0" applyNumberFormat="0" applyBorder="0" applyAlignment="0" applyProtection="0"/>
    <xf numFmtId="0" fontId="137" fillId="51" borderId="42" applyNumberFormat="0" applyAlignment="0" applyProtection="0"/>
    <xf numFmtId="0" fontId="138" fillId="66" borderId="43" applyNumberFormat="0" applyAlignment="0" applyProtection="0"/>
    <xf numFmtId="9" fontId="20"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39" fillId="0" borderId="0" applyNumberFormat="0" applyFill="0" applyBorder="0" applyAlignment="0" applyProtection="0"/>
    <xf numFmtId="0" fontId="140" fillId="47" borderId="0" applyNumberFormat="0" applyBorder="0" applyAlignment="0" applyProtection="0"/>
    <xf numFmtId="43" fontId="25" fillId="0" borderId="0" applyFont="0" applyFill="0" applyBorder="0" applyAlignment="0" applyProtection="0"/>
    <xf numFmtId="0" fontId="141" fillId="0" borderId="48" applyNumberFormat="0" applyFill="0" applyAlignment="0" applyProtection="0"/>
    <xf numFmtId="0" fontId="141" fillId="0" borderId="0" applyNumberFormat="0" applyFill="0" applyBorder="0" applyAlignment="0" applyProtection="0"/>
    <xf numFmtId="0" fontId="142" fillId="44" borderId="42" applyNumberFormat="0" applyAlignment="0" applyProtection="0"/>
    <xf numFmtId="0" fontId="143" fillId="0" borderId="49" applyNumberFormat="0" applyFill="0" applyAlignment="0" applyProtection="0"/>
    <xf numFmtId="0" fontId="144" fillId="54" borderId="0" applyNumberFormat="0" applyBorder="0" applyAlignment="0" applyProtection="0"/>
    <xf numFmtId="43" fontId="2" fillId="0" borderId="0" applyFont="0" applyFill="0" applyBorder="0" applyAlignment="0" applyProtection="0"/>
    <xf numFmtId="0" fontId="15" fillId="0" borderId="0"/>
    <xf numFmtId="0" fontId="15" fillId="0" borderId="0"/>
    <xf numFmtId="43" fontId="2" fillId="0" borderId="0" applyFont="0" applyFill="0" applyBorder="0" applyAlignment="0" applyProtection="0"/>
    <xf numFmtId="0" fontId="20" fillId="46" borderId="50" applyNumberFormat="0" applyFont="0" applyAlignment="0" applyProtection="0"/>
    <xf numFmtId="0" fontId="145" fillId="51" borderId="51"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20" fillId="0" borderId="0" applyFont="0" applyFill="0" applyBorder="0" applyAlignment="0" applyProtection="0"/>
    <xf numFmtId="0" fontId="146" fillId="0" borderId="0" applyNumberFormat="0" applyFill="0" applyBorder="0" applyAlignment="0" applyProtection="0"/>
    <xf numFmtId="0" fontId="2" fillId="0" borderId="0"/>
    <xf numFmtId="0" fontId="2" fillId="0" borderId="0"/>
    <xf numFmtId="0" fontId="15" fillId="0" borderId="0"/>
    <xf numFmtId="0" fontId="133" fillId="0" borderId="0">
      <alignment vertical="top"/>
    </xf>
    <xf numFmtId="0" fontId="2" fillId="0" borderId="0"/>
    <xf numFmtId="169" fontId="20" fillId="0" borderId="0" applyProtection="0"/>
    <xf numFmtId="169" fontId="20" fillId="0" borderId="0" applyProtection="0"/>
    <xf numFmtId="0" fontId="15" fillId="0" borderId="0"/>
    <xf numFmtId="44" fontId="20"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0" fontId="2" fillId="0" borderId="0"/>
    <xf numFmtId="9" fontId="20" fillId="0" borderId="0" applyFont="0" applyFill="0" applyBorder="0" applyAlignment="0" applyProtection="0"/>
    <xf numFmtId="9" fontId="15" fillId="0" borderId="0" applyFont="0" applyFill="0" applyBorder="0" applyAlignment="0" applyProtection="0"/>
    <xf numFmtId="0" fontId="142" fillId="44" borderId="4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42" fillId="44" borderId="42" applyNumberFormat="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43" fontId="2"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0" fontId="2" fillId="0" borderId="0"/>
    <xf numFmtId="0" fontId="2" fillId="0" borderId="0"/>
    <xf numFmtId="0" fontId="2" fillId="0" borderId="0"/>
    <xf numFmtId="44" fontId="20" fillId="0" borderId="0" applyFont="0" applyFill="0" applyBorder="0" applyAlignment="0" applyProtection="0"/>
    <xf numFmtId="0" fontId="2"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9"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15" fillId="0" borderId="0"/>
    <xf numFmtId="9" fontId="15" fillId="0" borderId="0" applyFont="0" applyFill="0" applyBorder="0" applyAlignment="0" applyProtection="0"/>
    <xf numFmtId="9"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33" fillId="43" borderId="0" applyNumberFormat="0" applyBorder="0" applyAlignment="0" applyProtection="0"/>
    <xf numFmtId="0" fontId="134" fillId="43"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134" fillId="43" borderId="0" applyNumberFormat="0" applyBorder="0" applyAlignment="0" applyProtection="0"/>
    <xf numFmtId="0" fontId="134" fillId="43" borderId="0" applyNumberFormat="0" applyBorder="0" applyAlignment="0" applyProtection="0"/>
    <xf numFmtId="0" fontId="134" fillId="43" borderId="0" applyNumberFormat="0" applyBorder="0" applyAlignment="0" applyProtection="0"/>
    <xf numFmtId="0" fontId="134" fillId="43" borderId="0" applyNumberFormat="0" applyBorder="0" applyAlignment="0" applyProtection="0"/>
    <xf numFmtId="0" fontId="33" fillId="45" borderId="0" applyNumberFormat="0" applyBorder="0" applyAlignment="0" applyProtection="0"/>
    <xf numFmtId="0" fontId="134" fillId="45"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134" fillId="45" borderId="0" applyNumberFormat="0" applyBorder="0" applyAlignment="0" applyProtection="0"/>
    <xf numFmtId="0" fontId="134" fillId="45" borderId="0" applyNumberFormat="0" applyBorder="0" applyAlignment="0" applyProtection="0"/>
    <xf numFmtId="0" fontId="134" fillId="45" borderId="0" applyNumberFormat="0" applyBorder="0" applyAlignment="0" applyProtection="0"/>
    <xf numFmtId="0" fontId="134" fillId="45" borderId="0" applyNumberFormat="0" applyBorder="0" applyAlignment="0" applyProtection="0"/>
    <xf numFmtId="0" fontId="33" fillId="47" borderId="0" applyNumberFormat="0" applyBorder="0" applyAlignment="0" applyProtection="0"/>
    <xf numFmtId="0" fontId="134" fillId="4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4" fillId="47" borderId="0" applyNumberFormat="0" applyBorder="0" applyAlignment="0" applyProtection="0"/>
    <xf numFmtId="0" fontId="134" fillId="47" borderId="0" applyNumberFormat="0" applyBorder="0" applyAlignment="0" applyProtection="0"/>
    <xf numFmtId="0" fontId="134" fillId="47" borderId="0" applyNumberFormat="0" applyBorder="0" applyAlignment="0" applyProtection="0"/>
    <xf numFmtId="0" fontId="134" fillId="47" borderId="0" applyNumberFormat="0" applyBorder="0" applyAlignment="0" applyProtection="0"/>
    <xf numFmtId="0" fontId="33" fillId="48" borderId="0" applyNumberFormat="0" applyBorder="0" applyAlignment="0" applyProtection="0"/>
    <xf numFmtId="0" fontId="134" fillId="48"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33" fillId="50" borderId="0" applyNumberFormat="0" applyBorder="0" applyAlignment="0" applyProtection="0"/>
    <xf numFmtId="0" fontId="134" fillId="50"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134" fillId="50" borderId="0" applyNumberFormat="0" applyBorder="0" applyAlignment="0" applyProtection="0"/>
    <xf numFmtId="0" fontId="134" fillId="50" borderId="0" applyNumberFormat="0" applyBorder="0" applyAlignment="0" applyProtection="0"/>
    <xf numFmtId="0" fontId="134" fillId="50" borderId="0" applyNumberFormat="0" applyBorder="0" applyAlignment="0" applyProtection="0"/>
    <xf numFmtId="0" fontId="134" fillId="50" borderId="0" applyNumberFormat="0" applyBorder="0" applyAlignment="0" applyProtection="0"/>
    <xf numFmtId="0" fontId="33" fillId="44" borderId="0" applyNumberFormat="0" applyBorder="0" applyAlignment="0" applyProtection="0"/>
    <xf numFmtId="0" fontId="33" fillId="44" borderId="0" applyNumberFormat="0" applyBorder="0" applyAlignment="0" applyProtection="0"/>
    <xf numFmtId="0" fontId="134" fillId="44"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2" fillId="39" borderId="0" applyNumberFormat="0" applyBorder="0" applyAlignment="0" applyProtection="0"/>
    <xf numFmtId="0" fontId="134" fillId="44" borderId="0" applyNumberFormat="0" applyBorder="0" applyAlignment="0" applyProtection="0"/>
    <xf numFmtId="0" fontId="134" fillId="44" borderId="0" applyNumberFormat="0" applyBorder="0" applyAlignment="0" applyProtection="0"/>
    <xf numFmtId="0" fontId="134" fillId="44" borderId="0" applyNumberFormat="0" applyBorder="0" applyAlignment="0" applyProtection="0"/>
    <xf numFmtId="0" fontId="134" fillId="44" borderId="0" applyNumberFormat="0" applyBorder="0" applyAlignment="0" applyProtection="0"/>
    <xf numFmtId="0" fontId="33" fillId="52" borderId="0" applyNumberFormat="0" applyBorder="0" applyAlignment="0" applyProtection="0"/>
    <xf numFmtId="0" fontId="134" fillId="52"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134" fillId="53"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134" fillId="53" borderId="0" applyNumberFormat="0" applyBorder="0" applyAlignment="0" applyProtection="0"/>
    <xf numFmtId="0" fontId="134" fillId="53" borderId="0" applyNumberFormat="0" applyBorder="0" applyAlignment="0" applyProtection="0"/>
    <xf numFmtId="0" fontId="134" fillId="53" borderId="0" applyNumberFormat="0" applyBorder="0" applyAlignment="0" applyProtection="0"/>
    <xf numFmtId="0" fontId="134" fillId="53" borderId="0" applyNumberFormat="0" applyBorder="0" applyAlignment="0" applyProtection="0"/>
    <xf numFmtId="0" fontId="33" fillId="55" borderId="0" applyNumberFormat="0" applyBorder="0" applyAlignment="0" applyProtection="0"/>
    <xf numFmtId="0" fontId="134" fillId="55"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134" fillId="55" borderId="0" applyNumberFormat="0" applyBorder="0" applyAlignment="0" applyProtection="0"/>
    <xf numFmtId="0" fontId="134" fillId="55" borderId="0" applyNumberFormat="0" applyBorder="0" applyAlignment="0" applyProtection="0"/>
    <xf numFmtId="0" fontId="134" fillId="55" borderId="0" applyNumberFormat="0" applyBorder="0" applyAlignment="0" applyProtection="0"/>
    <xf numFmtId="0" fontId="134" fillId="55" borderId="0" applyNumberFormat="0" applyBorder="0" applyAlignment="0" applyProtection="0"/>
    <xf numFmtId="0" fontId="33" fillId="48" borderId="0" applyNumberFormat="0" applyBorder="0" applyAlignment="0" applyProtection="0"/>
    <xf numFmtId="0" fontId="134" fillId="4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134" fillId="48"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134" fillId="5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134" fillId="52" borderId="0" applyNumberFormat="0" applyBorder="0" applyAlignment="0" applyProtection="0"/>
    <xf numFmtId="0" fontId="33" fillId="56" borderId="0" applyNumberFormat="0" applyBorder="0" applyAlignment="0" applyProtection="0"/>
    <xf numFmtId="0" fontId="134" fillId="5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134" fillId="56" borderId="0" applyNumberFormat="0" applyBorder="0" applyAlignment="0" applyProtection="0"/>
    <xf numFmtId="0" fontId="134" fillId="56" borderId="0" applyNumberFormat="0" applyBorder="0" applyAlignment="0" applyProtection="0"/>
    <xf numFmtId="0" fontId="134" fillId="56" borderId="0" applyNumberFormat="0" applyBorder="0" applyAlignment="0" applyProtection="0"/>
    <xf numFmtId="0" fontId="134" fillId="56" borderId="0" applyNumberFormat="0" applyBorder="0" applyAlignment="0" applyProtection="0"/>
    <xf numFmtId="0" fontId="49" fillId="58" borderId="0" applyNumberFormat="0" applyBorder="0" applyAlignment="0" applyProtection="0"/>
    <xf numFmtId="0" fontId="135" fillId="58" borderId="0" applyNumberFormat="0" applyBorder="0" applyAlignment="0" applyProtection="0"/>
    <xf numFmtId="0" fontId="48" fillId="21" borderId="0" applyNumberFormat="0" applyBorder="0" applyAlignment="0" applyProtection="0"/>
    <xf numFmtId="0" fontId="135" fillId="58" borderId="0" applyNumberFormat="0" applyBorder="0" applyAlignment="0" applyProtection="0"/>
    <xf numFmtId="0" fontId="135" fillId="58" borderId="0" applyNumberFormat="0" applyBorder="0" applyAlignment="0" applyProtection="0"/>
    <xf numFmtId="0" fontId="135" fillId="58" borderId="0" applyNumberFormat="0" applyBorder="0" applyAlignment="0" applyProtection="0"/>
    <xf numFmtId="0" fontId="135" fillId="58" borderId="0" applyNumberFormat="0" applyBorder="0" applyAlignment="0" applyProtection="0"/>
    <xf numFmtId="0" fontId="49" fillId="53" borderId="0" applyNumberFormat="0" applyBorder="0" applyAlignment="0" applyProtection="0"/>
    <xf numFmtId="0" fontId="49" fillId="53" borderId="0" applyNumberFormat="0" applyBorder="0" applyAlignment="0" applyProtection="0"/>
    <xf numFmtId="0" fontId="135" fillId="53" borderId="0" applyNumberFormat="0" applyBorder="0" applyAlignment="0" applyProtection="0"/>
    <xf numFmtId="0" fontId="48" fillId="25" borderId="0" applyNumberFormat="0" applyBorder="0" applyAlignment="0" applyProtection="0"/>
    <xf numFmtId="0" fontId="135" fillId="53" borderId="0" applyNumberFormat="0" applyBorder="0" applyAlignment="0" applyProtection="0"/>
    <xf numFmtId="0" fontId="135" fillId="53" borderId="0" applyNumberFormat="0" applyBorder="0" applyAlignment="0" applyProtection="0"/>
    <xf numFmtId="0" fontId="135" fillId="53" borderId="0" applyNumberFormat="0" applyBorder="0" applyAlignment="0" applyProtection="0"/>
    <xf numFmtId="0" fontId="135" fillId="53" borderId="0" applyNumberFormat="0" applyBorder="0" applyAlignment="0" applyProtection="0"/>
    <xf numFmtId="0" fontId="49" fillId="55" borderId="0" applyNumberFormat="0" applyBorder="0" applyAlignment="0" applyProtection="0"/>
    <xf numFmtId="0" fontId="135" fillId="55" borderId="0" applyNumberFormat="0" applyBorder="0" applyAlignment="0" applyProtection="0"/>
    <xf numFmtId="0" fontId="48" fillId="29" borderId="0" applyNumberFormat="0" applyBorder="0" applyAlignment="0" applyProtection="0"/>
    <xf numFmtId="0" fontId="135" fillId="55" borderId="0" applyNumberFormat="0" applyBorder="0" applyAlignment="0" applyProtection="0"/>
    <xf numFmtId="0" fontId="135" fillId="55" borderId="0" applyNumberFormat="0" applyBorder="0" applyAlignment="0" applyProtection="0"/>
    <xf numFmtId="0" fontId="135" fillId="55" borderId="0" applyNumberFormat="0" applyBorder="0" applyAlignment="0" applyProtection="0"/>
    <xf numFmtId="0" fontId="135" fillId="55" borderId="0" applyNumberFormat="0" applyBorder="0" applyAlignment="0" applyProtection="0"/>
    <xf numFmtId="0" fontId="49" fillId="59" borderId="0" applyNumberFormat="0" applyBorder="0" applyAlignment="0" applyProtection="0"/>
    <xf numFmtId="0" fontId="135" fillId="59" borderId="0" applyNumberFormat="0" applyBorder="0" applyAlignment="0" applyProtection="0"/>
    <xf numFmtId="0" fontId="48" fillId="33"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135" fillId="57" borderId="0" applyNumberFormat="0" applyBorder="0" applyAlignment="0" applyProtection="0"/>
    <xf numFmtId="0" fontId="48" fillId="37"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49" fillId="60" borderId="0" applyNumberFormat="0" applyBorder="0" applyAlignment="0" applyProtection="0"/>
    <xf numFmtId="0" fontId="135" fillId="60" borderId="0" applyNumberFormat="0" applyBorder="0" applyAlignment="0" applyProtection="0"/>
    <xf numFmtId="0" fontId="48" fillId="41" borderId="0" applyNumberFormat="0" applyBorder="0" applyAlignment="0" applyProtection="0"/>
    <xf numFmtId="0" fontId="135" fillId="60" borderId="0" applyNumberFormat="0" applyBorder="0" applyAlignment="0" applyProtection="0"/>
    <xf numFmtId="0" fontId="135" fillId="60" borderId="0" applyNumberFormat="0" applyBorder="0" applyAlignment="0" applyProtection="0"/>
    <xf numFmtId="0" fontId="135" fillId="60" borderId="0" applyNumberFormat="0" applyBorder="0" applyAlignment="0" applyProtection="0"/>
    <xf numFmtId="0" fontId="135" fillId="60" borderId="0" applyNumberFormat="0" applyBorder="0" applyAlignment="0" applyProtection="0"/>
    <xf numFmtId="0" fontId="49" fillId="61" borderId="0" applyNumberFormat="0" applyBorder="0" applyAlignment="0" applyProtection="0"/>
    <xf numFmtId="0" fontId="135" fillId="61" borderId="0" applyNumberFormat="0" applyBorder="0" applyAlignment="0" applyProtection="0"/>
    <xf numFmtId="0" fontId="48" fillId="18" borderId="0" applyNumberFormat="0" applyBorder="0" applyAlignment="0" applyProtection="0"/>
    <xf numFmtId="0" fontId="135" fillId="61" borderId="0" applyNumberFormat="0" applyBorder="0" applyAlignment="0" applyProtection="0"/>
    <xf numFmtId="0" fontId="135" fillId="61" borderId="0" applyNumberFormat="0" applyBorder="0" applyAlignment="0" applyProtection="0"/>
    <xf numFmtId="0" fontId="135" fillId="61" borderId="0" applyNumberFormat="0" applyBorder="0" applyAlignment="0" applyProtection="0"/>
    <xf numFmtId="0" fontId="135" fillId="61" borderId="0" applyNumberFormat="0" applyBorder="0" applyAlignment="0" applyProtection="0"/>
    <xf numFmtId="0" fontId="49" fillId="62" borderId="0" applyNumberFormat="0" applyBorder="0" applyAlignment="0" applyProtection="0"/>
    <xf numFmtId="0" fontId="49" fillId="62" borderId="0" applyNumberFormat="0" applyBorder="0" applyAlignment="0" applyProtection="0"/>
    <xf numFmtId="0" fontId="135" fillId="62" borderId="0" applyNumberFormat="0" applyBorder="0" applyAlignment="0" applyProtection="0"/>
    <xf numFmtId="0" fontId="48" fillId="22" borderId="0" applyNumberFormat="0" applyBorder="0" applyAlignment="0" applyProtection="0"/>
    <xf numFmtId="0" fontId="135" fillId="62" borderId="0" applyNumberFormat="0" applyBorder="0" applyAlignment="0" applyProtection="0"/>
    <xf numFmtId="0" fontId="135" fillId="62" borderId="0" applyNumberFormat="0" applyBorder="0" applyAlignment="0" applyProtection="0"/>
    <xf numFmtId="0" fontId="135" fillId="62" borderId="0" applyNumberFormat="0" applyBorder="0" applyAlignment="0" applyProtection="0"/>
    <xf numFmtId="0" fontId="135" fillId="62" borderId="0" applyNumberFormat="0" applyBorder="0" applyAlignment="0" applyProtection="0"/>
    <xf numFmtId="0" fontId="49" fillId="63" borderId="0" applyNumberFormat="0" applyBorder="0" applyAlignment="0" applyProtection="0"/>
    <xf numFmtId="0" fontId="49" fillId="63" borderId="0" applyNumberFormat="0" applyBorder="0" applyAlignment="0" applyProtection="0"/>
    <xf numFmtId="0" fontId="135" fillId="63" borderId="0" applyNumberFormat="0" applyBorder="0" applyAlignment="0" applyProtection="0"/>
    <xf numFmtId="0" fontId="48" fillId="26" borderId="0" applyNumberFormat="0" applyBorder="0" applyAlignment="0" applyProtection="0"/>
    <xf numFmtId="0" fontId="135" fillId="63" borderId="0" applyNumberFormat="0" applyBorder="0" applyAlignment="0" applyProtection="0"/>
    <xf numFmtId="0" fontId="135" fillId="63" borderId="0" applyNumberFormat="0" applyBorder="0" applyAlignment="0" applyProtection="0"/>
    <xf numFmtId="0" fontId="135" fillId="63" borderId="0" applyNumberFormat="0" applyBorder="0" applyAlignment="0" applyProtection="0"/>
    <xf numFmtId="0" fontId="135" fillId="63" borderId="0" applyNumberFormat="0" applyBorder="0" applyAlignment="0" applyProtection="0"/>
    <xf numFmtId="0" fontId="49" fillId="59" borderId="0" applyNumberFormat="0" applyBorder="0" applyAlignment="0" applyProtection="0"/>
    <xf numFmtId="0" fontId="135" fillId="59" borderId="0" applyNumberFormat="0" applyBorder="0" applyAlignment="0" applyProtection="0"/>
    <xf numFmtId="0" fontId="48" fillId="30"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135" fillId="59" borderId="0" applyNumberFormat="0" applyBorder="0" applyAlignment="0" applyProtection="0"/>
    <xf numFmtId="0" fontId="49" fillId="57" borderId="0" applyNumberFormat="0" applyBorder="0" applyAlignment="0" applyProtection="0"/>
    <xf numFmtId="0" fontId="49" fillId="57" borderId="0" applyNumberFormat="0" applyBorder="0" applyAlignment="0" applyProtection="0"/>
    <xf numFmtId="0" fontId="135" fillId="57" borderId="0" applyNumberFormat="0" applyBorder="0" applyAlignment="0" applyProtection="0"/>
    <xf numFmtId="0" fontId="48" fillId="34"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135" fillId="57" borderId="0" applyNumberFormat="0" applyBorder="0" applyAlignment="0" applyProtection="0"/>
    <xf numFmtId="0" fontId="49" fillId="65" borderId="0" applyNumberFormat="0" applyBorder="0" applyAlignment="0" applyProtection="0"/>
    <xf numFmtId="0" fontId="49" fillId="65" borderId="0" applyNumberFormat="0" applyBorder="0" applyAlignment="0" applyProtection="0"/>
    <xf numFmtId="0" fontId="135" fillId="65" borderId="0" applyNumberFormat="0" applyBorder="0" applyAlignment="0" applyProtection="0"/>
    <xf numFmtId="0" fontId="48" fillId="38" borderId="0" applyNumberFormat="0" applyBorder="0" applyAlignment="0" applyProtection="0"/>
    <xf numFmtId="0" fontId="135" fillId="65" borderId="0" applyNumberFormat="0" applyBorder="0" applyAlignment="0" applyProtection="0"/>
    <xf numFmtId="0" fontId="135" fillId="65" borderId="0" applyNumberFormat="0" applyBorder="0" applyAlignment="0" applyProtection="0"/>
    <xf numFmtId="0" fontId="135" fillId="65" borderId="0" applyNumberFormat="0" applyBorder="0" applyAlignment="0" applyProtection="0"/>
    <xf numFmtId="0" fontId="135" fillId="65" borderId="0" applyNumberFormat="0" applyBorder="0" applyAlignment="0" applyProtection="0"/>
    <xf numFmtId="0" fontId="50" fillId="45" borderId="0" applyNumberFormat="0" applyBorder="0" applyAlignment="0" applyProtection="0"/>
    <xf numFmtId="0" fontId="50" fillId="45" borderId="0" applyNumberFormat="0" applyBorder="0" applyAlignment="0" applyProtection="0"/>
    <xf numFmtId="0" fontId="136" fillId="45" borderId="0" applyNumberFormat="0" applyBorder="0" applyAlignment="0" applyProtection="0"/>
    <xf numFmtId="0" fontId="40" fillId="13" borderId="0" applyNumberFormat="0" applyBorder="0" applyAlignment="0" applyProtection="0"/>
    <xf numFmtId="0" fontId="136" fillId="45" borderId="0" applyNumberFormat="0" applyBorder="0" applyAlignment="0" applyProtection="0"/>
    <xf numFmtId="0" fontId="136" fillId="45" borderId="0" applyNumberFormat="0" applyBorder="0" applyAlignment="0" applyProtection="0"/>
    <xf numFmtId="0" fontId="136" fillId="45" borderId="0" applyNumberFormat="0" applyBorder="0" applyAlignment="0" applyProtection="0"/>
    <xf numFmtId="0" fontId="136" fillId="45" borderId="0" applyNumberFormat="0" applyBorder="0" applyAlignment="0" applyProtection="0"/>
    <xf numFmtId="0" fontId="51" fillId="51" borderId="42" applyNumberFormat="0" applyAlignment="0" applyProtection="0"/>
    <xf numFmtId="0" fontId="137" fillId="51" borderId="42" applyNumberFormat="0" applyAlignment="0" applyProtection="0"/>
    <xf numFmtId="0" fontId="43" fillId="15" borderId="37" applyNumberFormat="0" applyAlignment="0" applyProtection="0"/>
    <xf numFmtId="0" fontId="137" fillId="51" borderId="42" applyNumberFormat="0" applyAlignment="0" applyProtection="0"/>
    <xf numFmtId="0" fontId="137" fillId="51" borderId="42" applyNumberFormat="0" applyAlignment="0" applyProtection="0"/>
    <xf numFmtId="0" fontId="137" fillId="51" borderId="42" applyNumberFormat="0" applyAlignment="0" applyProtection="0"/>
    <xf numFmtId="0" fontId="137" fillId="51" borderId="42" applyNumberFormat="0" applyAlignment="0" applyProtection="0"/>
    <xf numFmtId="0" fontId="52" fillId="66" borderId="43" applyNumberFormat="0" applyAlignment="0" applyProtection="0"/>
    <xf numFmtId="0" fontId="52" fillId="66" borderId="43" applyNumberFormat="0" applyAlignment="0" applyProtection="0"/>
    <xf numFmtId="0" fontId="138" fillId="66" borderId="43" applyNumberFormat="0" applyAlignment="0" applyProtection="0"/>
    <xf numFmtId="0" fontId="44" fillId="16" borderId="39" applyNumberFormat="0" applyAlignment="0" applyProtection="0"/>
    <xf numFmtId="0" fontId="138" fillId="66" borderId="43" applyNumberFormat="0" applyAlignment="0" applyProtection="0"/>
    <xf numFmtId="0" fontId="138" fillId="66" borderId="43" applyNumberFormat="0" applyAlignment="0" applyProtection="0"/>
    <xf numFmtId="0" fontId="138" fillId="66" borderId="43" applyNumberFormat="0" applyAlignment="0" applyProtection="0"/>
    <xf numFmtId="0" fontId="138" fillId="66" borderId="43" applyNumberFormat="0" applyAlignment="0" applyProtection="0"/>
    <xf numFmtId="40" fontId="25" fillId="0" borderId="0" applyFont="0" applyFill="0" applyBorder="0" applyAlignment="0" applyProtection="0"/>
    <xf numFmtId="40"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43" fontId="82" fillId="0" borderId="0" applyFont="0" applyFill="0" applyBorder="0" applyAlignment="0" applyProtection="0"/>
    <xf numFmtId="40" fontId="25" fillId="0" borderId="0" applyFont="0" applyFill="0" applyBorder="0" applyAlignment="0" applyProtection="0"/>
    <xf numFmtId="40" fontId="25" fillId="0" borderId="0" applyFont="0" applyFill="0" applyBorder="0" applyAlignment="0" applyProtection="0"/>
    <xf numFmtId="3" fontId="149"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8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277" fontId="149" fillId="0" borderId="0" applyFont="0" applyFill="0" applyBorder="0" applyAlignment="0" applyProtection="0"/>
    <xf numFmtId="0" fontId="149"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39" fillId="0" borderId="0" applyNumberFormat="0" applyFill="0" applyBorder="0" applyAlignment="0" applyProtection="0"/>
    <xf numFmtId="0" fontId="46"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0" fontId="139" fillId="0" borderId="0" applyNumberFormat="0" applyFill="0" applyBorder="0" applyAlignment="0" applyProtection="0"/>
    <xf numFmtId="2" fontId="149" fillId="0" borderId="0" applyFont="0" applyFill="0" applyBorder="0" applyAlignment="0" applyProtection="0"/>
    <xf numFmtId="0" fontId="56" fillId="47" borderId="0" applyNumberFormat="0" applyBorder="0" applyAlignment="0" applyProtection="0"/>
    <xf numFmtId="0" fontId="56" fillId="47" borderId="0" applyNumberFormat="0" applyBorder="0" applyAlignment="0" applyProtection="0"/>
    <xf numFmtId="0" fontId="140" fillId="47" borderId="0" applyNumberFormat="0" applyBorder="0" applyAlignment="0" applyProtection="0"/>
    <xf numFmtId="0" fontId="39" fillId="12" borderId="0" applyNumberFormat="0" applyBorder="0" applyAlignment="0" applyProtection="0"/>
    <xf numFmtId="0" fontId="140" fillId="47" borderId="0" applyNumberFormat="0" applyBorder="0" applyAlignment="0" applyProtection="0"/>
    <xf numFmtId="0" fontId="140" fillId="47" borderId="0" applyNumberFormat="0" applyBorder="0" applyAlignment="0" applyProtection="0"/>
    <xf numFmtId="0" fontId="140" fillId="47" borderId="0" applyNumberFormat="0" applyBorder="0" applyAlignment="0" applyProtection="0"/>
    <xf numFmtId="0" fontId="140" fillId="47" borderId="0" applyNumberFormat="0" applyBorder="0" applyAlignment="0" applyProtection="0"/>
    <xf numFmtId="0" fontId="92" fillId="0" borderId="0" applyFont="0" applyFill="0" applyBorder="0" applyAlignment="0" applyProtection="0"/>
    <xf numFmtId="0" fontId="150" fillId="0" borderId="0" applyNumberFormat="0" applyFill="0" applyBorder="0" applyAlignment="0" applyProtection="0"/>
    <xf numFmtId="0" fontId="150" fillId="0" borderId="0" applyNumberFormat="0" applyFill="0" applyBorder="0" applyAlignment="0" applyProtection="0"/>
    <xf numFmtId="0" fontId="92" fillId="0" borderId="0" applyFont="0" applyFill="0" applyBorder="0" applyAlignment="0" applyProtection="0"/>
    <xf numFmtId="0" fontId="80" fillId="0" borderId="68" applyNumberFormat="0" applyFill="0" applyAlignment="0" applyProtection="0"/>
    <xf numFmtId="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151" fillId="0" borderId="0" applyNumberFormat="0" applyFill="0" applyBorder="0" applyAlignment="0" applyProtection="0"/>
    <xf numFmtId="0" fontId="151" fillId="0" borderId="0" applyNumberFormat="0" applyFill="0" applyBorder="0" applyAlignment="0" applyProtection="0"/>
    <xf numFmtId="0" fontId="17" fillId="0" borderId="0" applyFont="0" applyFill="0" applyBorder="0" applyAlignment="0" applyProtection="0"/>
    <xf numFmtId="0" fontId="37" fillId="0" borderId="35" applyNumberFormat="0" applyFill="0" applyAlignment="0" applyProtection="0"/>
    <xf numFmtId="0" fontId="17" fillId="0" borderId="0" applyFont="0" applyFill="0" applyBorder="0" applyAlignment="0" applyProtection="0"/>
    <xf numFmtId="0" fontId="17" fillId="0" borderId="0" applyFont="0" applyFill="0" applyBorder="0" applyAlignment="0" applyProtection="0"/>
    <xf numFmtId="0" fontId="17" fillId="0" borderId="0" applyFont="0" applyFill="0" applyBorder="0" applyAlignment="0" applyProtection="0"/>
    <xf numFmtId="0" fontId="62" fillId="0" borderId="48" applyNumberFormat="0" applyFill="0" applyAlignment="0" applyProtection="0"/>
    <xf numFmtId="0" fontId="141" fillId="0" borderId="48" applyNumberFormat="0" applyFill="0" applyAlignment="0" applyProtection="0"/>
    <xf numFmtId="0" fontId="38" fillId="0" borderId="36" applyNumberFormat="0" applyFill="0" applyAlignment="0" applyProtection="0"/>
    <xf numFmtId="0" fontId="141" fillId="0" borderId="48" applyNumberFormat="0" applyFill="0" applyAlignment="0" applyProtection="0"/>
    <xf numFmtId="0" fontId="141" fillId="0" borderId="48" applyNumberFormat="0" applyFill="0" applyAlignment="0" applyProtection="0"/>
    <xf numFmtId="0" fontId="141" fillId="0" borderId="48" applyNumberFormat="0" applyFill="0" applyAlignment="0" applyProtection="0"/>
    <xf numFmtId="0" fontId="141" fillId="0" borderId="48" applyNumberFormat="0" applyFill="0" applyAlignment="0" applyProtection="0"/>
    <xf numFmtId="0" fontId="62" fillId="0" borderId="0" applyNumberFormat="0" applyFill="0" applyBorder="0" applyAlignment="0" applyProtection="0"/>
    <xf numFmtId="0" fontId="141" fillId="0" borderId="0" applyNumberFormat="0" applyFill="0" applyBorder="0" applyAlignment="0" applyProtection="0"/>
    <xf numFmtId="0" fontId="38"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141" fillId="0" borderId="0" applyNumberFormat="0" applyFill="0" applyBorder="0" applyAlignment="0" applyProtection="0"/>
    <xf numFmtId="0" fontId="64" fillId="44" borderId="42" applyNumberFormat="0" applyAlignment="0" applyProtection="0"/>
    <xf numFmtId="0" fontId="41" fillId="14" borderId="37" applyNumberFormat="0" applyAlignment="0" applyProtection="0"/>
    <xf numFmtId="0" fontId="142" fillId="44" borderId="42" applyNumberFormat="0" applyAlignment="0" applyProtection="0"/>
    <xf numFmtId="0" fontId="142" fillId="44" borderId="42" applyNumberFormat="0" applyAlignment="0" applyProtection="0"/>
    <xf numFmtId="0" fontId="142" fillId="44" borderId="42" applyNumberFormat="0" applyAlignment="0" applyProtection="0"/>
    <xf numFmtId="0" fontId="142" fillId="44" borderId="42" applyNumberFormat="0" applyAlignment="0" applyProtection="0"/>
    <xf numFmtId="0" fontId="65" fillId="0" borderId="49" applyNumberFormat="0" applyFill="0" applyAlignment="0" applyProtection="0"/>
    <xf numFmtId="0" fontId="65" fillId="0" borderId="49" applyNumberFormat="0" applyFill="0" applyAlignment="0" applyProtection="0"/>
    <xf numFmtId="0" fontId="143" fillId="0" borderId="49" applyNumberFormat="0" applyFill="0" applyAlignment="0" applyProtection="0"/>
    <xf numFmtId="0" fontId="81" fillId="0" borderId="69" applyNumberFormat="0" applyFill="0" applyAlignment="0" applyProtection="0"/>
    <xf numFmtId="0" fontId="143" fillId="0" borderId="49" applyNumberFormat="0" applyFill="0" applyAlignment="0" applyProtection="0"/>
    <xf numFmtId="0" fontId="143" fillId="0" borderId="49" applyNumberFormat="0" applyFill="0" applyAlignment="0" applyProtection="0"/>
    <xf numFmtId="0" fontId="143" fillId="0" borderId="49" applyNumberFormat="0" applyFill="0" applyAlignment="0" applyProtection="0"/>
    <xf numFmtId="0" fontId="143" fillId="0" borderId="49" applyNumberFormat="0" applyFill="0" applyAlignment="0" applyProtection="0"/>
    <xf numFmtId="0" fontId="66" fillId="54" borderId="0" applyNumberFormat="0" applyBorder="0" applyAlignment="0" applyProtection="0"/>
    <xf numFmtId="0" fontId="66" fillId="54" borderId="0" applyNumberFormat="0" applyBorder="0" applyAlignment="0" applyProtection="0"/>
    <xf numFmtId="0" fontId="144" fillId="54" borderId="0" applyNumberFormat="0" applyBorder="0" applyAlignment="0" applyProtection="0"/>
    <xf numFmtId="0" fontId="148" fillId="70" borderId="0" applyNumberFormat="0" applyBorder="0" applyAlignment="0" applyProtection="0"/>
    <xf numFmtId="0" fontId="144" fillId="54" borderId="0" applyNumberFormat="0" applyBorder="0" applyAlignment="0" applyProtection="0"/>
    <xf numFmtId="0" fontId="144" fillId="54" borderId="0" applyNumberFormat="0" applyBorder="0" applyAlignment="0" applyProtection="0"/>
    <xf numFmtId="0" fontId="144" fillId="54" borderId="0" applyNumberFormat="0" applyBorder="0" applyAlignment="0" applyProtection="0"/>
    <xf numFmtId="0" fontId="144" fillId="5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15" fillId="0" borderId="0"/>
    <xf numFmtId="0" fontId="25" fillId="0" borderId="0"/>
    <xf numFmtId="0" fontId="15" fillId="0" borderId="0"/>
    <xf numFmtId="0" fontId="25" fillId="0" borderId="0"/>
    <xf numFmtId="169" fontId="20" fillId="0" borderId="0" applyProtection="0"/>
    <xf numFmtId="0" fontId="25" fillId="0" borderId="0"/>
    <xf numFmtId="0" fontId="25" fillId="0" borderId="0"/>
    <xf numFmtId="169" fontId="20" fillId="0" borderId="0" applyProtection="0"/>
    <xf numFmtId="169" fontId="20" fillId="0" borderId="0" applyProtection="0"/>
    <xf numFmtId="0" fontId="25" fillId="0" borderId="0"/>
    <xf numFmtId="0" fontId="25" fillId="0" borderId="0"/>
    <xf numFmtId="0" fontId="25" fillId="0" borderId="0"/>
    <xf numFmtId="0" fontId="15" fillId="0" borderId="0"/>
    <xf numFmtId="0" fontId="15" fillId="0" borderId="0"/>
    <xf numFmtId="0" fontId="25" fillId="0" borderId="0"/>
    <xf numFmtId="0" fontId="25" fillId="0" borderId="0"/>
    <xf numFmtId="0" fontId="25" fillId="0" borderId="0"/>
    <xf numFmtId="0" fontId="25" fillId="0" borderId="0"/>
    <xf numFmtId="0"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278" fontId="15" fillId="0" borderId="0"/>
    <xf numFmtId="278" fontId="1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15" fillId="46" borderId="50" applyNumberFormat="0" applyFont="0" applyAlignment="0" applyProtection="0"/>
    <xf numFmtId="0" fontId="20" fillId="46" borderId="5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 fillId="17" borderId="40" applyNumberFormat="0" applyFont="0" applyAlignment="0" applyProtection="0"/>
    <xf numFmtId="0" fontId="20" fillId="46" borderId="50" applyNumberFormat="0" applyFont="0" applyAlignment="0" applyProtection="0"/>
    <xf numFmtId="0" fontId="20" fillId="46" borderId="50" applyNumberFormat="0" applyFont="0" applyAlignment="0" applyProtection="0"/>
    <xf numFmtId="0" fontId="20" fillId="46" borderId="50" applyNumberFormat="0" applyFont="0" applyAlignment="0" applyProtection="0"/>
    <xf numFmtId="0" fontId="20" fillId="46" borderId="50" applyNumberFormat="0" applyFont="0" applyAlignment="0" applyProtection="0"/>
    <xf numFmtId="0" fontId="68" fillId="51" borderId="51" applyNumberFormat="0" applyAlignment="0" applyProtection="0"/>
    <xf numFmtId="0" fontId="145" fillId="51" borderId="51" applyNumberFormat="0" applyAlignment="0" applyProtection="0"/>
    <xf numFmtId="0" fontId="42" fillId="15" borderId="38" applyNumberFormat="0" applyAlignment="0" applyProtection="0"/>
    <xf numFmtId="0" fontId="145" fillId="51" borderId="51" applyNumberFormat="0" applyAlignment="0" applyProtection="0"/>
    <xf numFmtId="0" fontId="145" fillId="51" borderId="51" applyNumberFormat="0" applyAlignment="0" applyProtection="0"/>
    <xf numFmtId="0" fontId="145" fillId="51" borderId="51" applyNumberFormat="0" applyAlignment="0" applyProtection="0"/>
    <xf numFmtId="0" fontId="145" fillId="51" borderId="51" applyNumberFormat="0" applyAlignment="0" applyProtection="0"/>
    <xf numFmtId="9" fontId="3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0" fontId="25" fillId="0" borderId="0" applyNumberFormat="0" applyFont="0" applyFill="0" applyBorder="0" applyAlignment="0" applyProtection="0">
      <alignment horizontal="left"/>
    </xf>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15"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4" fontId="25" fillId="0" borderId="0" applyFont="0" applyFill="0" applyBorder="0" applyAlignment="0" applyProtection="0"/>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0" fontId="26" fillId="0" borderId="2">
      <alignment horizontal="center"/>
    </xf>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3" fontId="25" fillId="0" borderId="0" applyFont="0" applyFill="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25" fillId="2" borderId="0" applyNumberFormat="0" applyFont="0" applyBorder="0" applyAlignment="0" applyProtection="0"/>
    <xf numFmtId="0" fontId="76" fillId="0" borderId="0" applyNumberFormat="0" applyFill="0" applyBorder="0" applyAlignment="0" applyProtection="0"/>
    <xf numFmtId="0" fontId="147"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5" fillId="0" borderId="0" applyFont="0" applyFill="0" applyBorder="0" applyAlignment="0" applyProtection="0"/>
    <xf numFmtId="0" fontId="149" fillId="0" borderId="70" applyNumberFormat="0" applyFont="0" applyFill="0" applyAlignment="0" applyProtection="0"/>
    <xf numFmtId="0" fontId="149" fillId="0" borderId="70" applyNumberFormat="0" applyFont="0" applyFill="0" applyAlignment="0" applyProtection="0"/>
    <xf numFmtId="0" fontId="15" fillId="0" borderId="0" applyFont="0" applyFill="0" applyBorder="0" applyAlignment="0" applyProtection="0"/>
    <xf numFmtId="0" fontId="47" fillId="0" borderId="41" applyNumberFormat="0" applyFill="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146" fillId="0" borderId="0" applyNumberFormat="0" applyFill="0" applyBorder="0" applyAlignment="0" applyProtection="0"/>
    <xf numFmtId="0" fontId="45"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0" fontId="146" fillId="0" borderId="0" applyNumberFormat="0" applyFill="0" applyBorder="0" applyAlignment="0" applyProtection="0"/>
    <xf numFmtId="3" fontId="15" fillId="0" borderId="0"/>
    <xf numFmtId="14" fontId="16" fillId="74" borderId="75">
      <alignment horizontal="center" vertical="center" wrapText="1"/>
    </xf>
    <xf numFmtId="0" fontId="93" fillId="0" borderId="75"/>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75">
      <alignment horizontal="center"/>
    </xf>
    <xf numFmtId="0" fontId="103" fillId="0" borderId="75">
      <alignment horizontal="right"/>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15" fillId="0" borderId="0"/>
    <xf numFmtId="14" fontId="15" fillId="0" borderId="0" applyFont="0" applyFill="0" applyBorder="0" applyAlignment="0" applyProtection="0"/>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26" fillId="0" borderId="75">
      <alignment horizontal="center"/>
    </xf>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51">
    <xf numFmtId="0" fontId="0" fillId="0" borderId="0" xfId="0"/>
    <xf numFmtId="0" fontId="29" fillId="0" borderId="0" xfId="20" applyFont="1" applyAlignment="1">
      <alignment horizontal="center"/>
    </xf>
    <xf numFmtId="0" fontId="28" fillId="0" borderId="0" xfId="20" applyFont="1" applyAlignment="1">
      <alignment horizontal="center"/>
    </xf>
    <xf numFmtId="0" fontId="23" fillId="0" borderId="0" xfId="291" applyFont="1"/>
    <xf numFmtId="10" fontId="23" fillId="0" borderId="0" xfId="291" applyNumberFormat="1" applyFont="1"/>
    <xf numFmtId="0" fontId="23" fillId="0" borderId="0" xfId="291" applyFont="1" applyAlignment="1">
      <alignment horizontal="left"/>
    </xf>
    <xf numFmtId="0" fontId="23" fillId="0" borderId="0" xfId="0" applyFont="1"/>
    <xf numFmtId="2" fontId="23" fillId="0" borderId="0" xfId="0" applyNumberFormat="1" applyFont="1" applyAlignment="1">
      <alignment horizontal="left"/>
    </xf>
    <xf numFmtId="10" fontId="23" fillId="0" borderId="0" xfId="9" applyNumberFormat="1" applyFont="1" applyAlignment="1">
      <alignment horizontal="center"/>
    </xf>
    <xf numFmtId="0" fontId="23" fillId="0" borderId="0" xfId="1064" applyFont="1" applyAlignment="1">
      <alignment horizontal="right"/>
    </xf>
    <xf numFmtId="0" fontId="23" fillId="0" borderId="0" xfId="0" applyFont="1" applyAlignment="1">
      <alignment horizontal="left"/>
    </xf>
    <xf numFmtId="0" fontId="83" fillId="0" borderId="0" xfId="0" applyFont="1" applyAlignment="1">
      <alignment horizontal="center"/>
    </xf>
    <xf numFmtId="0" fontId="153" fillId="0" borderId="0" xfId="0" applyFont="1" applyAlignment="1">
      <alignment horizontal="center" wrapText="1"/>
    </xf>
    <xf numFmtId="0" fontId="23" fillId="0" borderId="4" xfId="0" applyFont="1" applyBorder="1" applyAlignment="1">
      <alignment horizontal="center" wrapText="1"/>
    </xf>
    <xf numFmtId="166" fontId="23" fillId="11" borderId="0" xfId="6" applyNumberFormat="1" applyFont="1" applyFill="1"/>
    <xf numFmtId="166" fontId="23" fillId="0" borderId="0" xfId="6" applyNumberFormat="1" applyFont="1"/>
    <xf numFmtId="166" fontId="23" fillId="0" borderId="0" xfId="6" applyNumberFormat="1" applyFont="1" applyFill="1"/>
    <xf numFmtId="0" fontId="23" fillId="0" borderId="0" xfId="0" applyFont="1" applyAlignment="1">
      <alignment horizontal="center"/>
    </xf>
    <xf numFmtId="0" fontId="153" fillId="0" borderId="0" xfId="0" applyFont="1" applyAlignment="1">
      <alignment horizontal="center"/>
    </xf>
    <xf numFmtId="3" fontId="23" fillId="0" borderId="0" xfId="0" applyNumberFormat="1" applyFont="1"/>
    <xf numFmtId="3" fontId="23" fillId="78" borderId="0" xfId="0" applyNumberFormat="1" applyFont="1" applyFill="1"/>
    <xf numFmtId="166" fontId="154" fillId="11" borderId="0" xfId="6" applyNumberFormat="1" applyFont="1" applyFill="1"/>
    <xf numFmtId="0" fontId="23" fillId="0" borderId="0" xfId="0" applyFont="1" applyAlignment="1">
      <alignment horizontal="center" wrapText="1"/>
    </xf>
    <xf numFmtId="279" fontId="23" fillId="0" borderId="0" xfId="6" applyNumberFormat="1" applyFont="1"/>
    <xf numFmtId="0" fontId="23" fillId="0" borderId="0" xfId="20" applyFont="1" applyAlignment="1">
      <alignment horizontal="right" wrapText="1"/>
    </xf>
    <xf numFmtId="0" fontId="83" fillId="0" borderId="0" xfId="1065" applyFont="1" applyAlignment="1">
      <alignment horizontal="centerContinuous"/>
    </xf>
    <xf numFmtId="0" fontId="23" fillId="0" borderId="0" xfId="0" applyFont="1" applyAlignment="1">
      <alignment horizontal="centerContinuous"/>
    </xf>
    <xf numFmtId="0" fontId="83" fillId="0" borderId="0" xfId="1065" applyFont="1" applyAlignment="1">
      <alignment horizontal="center"/>
    </xf>
    <xf numFmtId="0" fontId="23" fillId="11" borderId="0" xfId="0" quotePrefix="1" applyFont="1" applyFill="1" applyAlignment="1">
      <alignment horizontal="center"/>
    </xf>
    <xf numFmtId="0" fontId="153" fillId="0" borderId="0" xfId="0" applyFont="1"/>
    <xf numFmtId="37" fontId="23" fillId="0" borderId="0" xfId="0" applyNumberFormat="1" applyFont="1" applyAlignment="1">
      <alignment horizontal="center" vertical="top"/>
    </xf>
    <xf numFmtId="0" fontId="23" fillId="0" borderId="0" xfId="0" quotePrefix="1" applyFont="1"/>
    <xf numFmtId="0" fontId="23" fillId="11" borderId="0" xfId="0" applyFont="1" applyFill="1"/>
    <xf numFmtId="164" fontId="23" fillId="0" borderId="0" xfId="2" applyNumberFormat="1" applyFont="1"/>
    <xf numFmtId="164" fontId="155" fillId="11" borderId="0" xfId="2" applyNumberFormat="1" applyFont="1" applyFill="1"/>
    <xf numFmtId="3" fontId="155" fillId="11" borderId="0" xfId="2" applyNumberFormat="1" applyFont="1" applyFill="1"/>
    <xf numFmtId="3" fontId="23" fillId="0" borderId="0" xfId="2" applyNumberFormat="1" applyFont="1"/>
    <xf numFmtId="0" fontId="23" fillId="11" borderId="0" xfId="0" applyFont="1" applyFill="1" applyAlignment="1">
      <alignment vertical="center"/>
    </xf>
    <xf numFmtId="3" fontId="23" fillId="11" borderId="0" xfId="2" applyNumberFormat="1" applyFont="1" applyFill="1"/>
    <xf numFmtId="3" fontId="23" fillId="0" borderId="3" xfId="2" applyNumberFormat="1" applyFont="1" applyBorder="1"/>
    <xf numFmtId="10" fontId="23" fillId="11" borderId="0" xfId="0" applyNumberFormat="1" applyFont="1" applyFill="1"/>
    <xf numFmtId="0" fontId="23" fillId="0" borderId="4" xfId="0" applyFont="1" applyBorder="1" applyAlignment="1">
      <alignment horizontal="center"/>
    </xf>
    <xf numFmtId="0" fontId="23" fillId="0" borderId="0" xfId="0" applyFont="1" applyAlignment="1">
      <alignment horizontal="center" vertical="top"/>
    </xf>
    <xf numFmtId="0" fontId="23" fillId="0" borderId="0" xfId="0" applyFont="1" applyAlignment="1">
      <alignment vertical="top" wrapText="1"/>
    </xf>
    <xf numFmtId="0" fontId="83" fillId="0" borderId="0" xfId="20" applyFont="1" applyAlignment="1">
      <alignment horizontal="center"/>
    </xf>
    <xf numFmtId="0" fontId="83" fillId="0" borderId="0" xfId="0" applyFont="1"/>
    <xf numFmtId="0" fontId="23" fillId="0" borderId="0" xfId="20" applyFont="1"/>
    <xf numFmtId="0" fontId="23" fillId="69" borderId="7" xfId="0" applyFont="1" applyFill="1" applyBorder="1"/>
    <xf numFmtId="0" fontId="83" fillId="69" borderId="8" xfId="0" applyFont="1" applyFill="1" applyBorder="1" applyAlignment="1">
      <alignment horizontal="center"/>
    </xf>
    <xf numFmtId="0" fontId="83" fillId="69" borderId="24" xfId="0" applyFont="1" applyFill="1" applyBorder="1" applyAlignment="1">
      <alignment horizontal="center"/>
    </xf>
    <xf numFmtId="0" fontId="83" fillId="10" borderId="11" xfId="20" applyFont="1" applyFill="1" applyBorder="1" applyAlignment="1">
      <alignment horizontal="center"/>
    </xf>
    <xf numFmtId="0" fontId="83" fillId="10" borderId="12" xfId="20" applyFont="1" applyFill="1" applyBorder="1" applyAlignment="1">
      <alignment horizontal="center"/>
    </xf>
    <xf numFmtId="0" fontId="83" fillId="10" borderId="14" xfId="20" applyFont="1" applyFill="1" applyBorder="1" applyAlignment="1">
      <alignment horizontal="center" wrapText="1"/>
    </xf>
    <xf numFmtId="0" fontId="83" fillId="0" borderId="0" xfId="20" applyFont="1" applyAlignment="1">
      <alignment horizontal="center" wrapText="1"/>
    </xf>
    <xf numFmtId="0" fontId="83" fillId="69" borderId="6" xfId="20" applyFont="1" applyFill="1" applyBorder="1" applyAlignment="1">
      <alignment horizontal="center"/>
    </xf>
    <xf numFmtId="0" fontId="83" fillId="69" borderId="2" xfId="20" applyFont="1" applyFill="1" applyBorder="1" applyAlignment="1">
      <alignment horizontal="center"/>
    </xf>
    <xf numFmtId="0" fontId="83" fillId="69" borderId="9" xfId="20" applyFont="1" applyFill="1" applyBorder="1" applyAlignment="1">
      <alignment horizontal="center"/>
    </xf>
    <xf numFmtId="170" fontId="23" fillId="0" borderId="0" xfId="9" applyNumberFormat="1" applyFont="1"/>
    <xf numFmtId="166" fontId="153" fillId="0" borderId="0" xfId="6" applyNumberFormat="1" applyFont="1" applyFill="1"/>
    <xf numFmtId="166" fontId="153" fillId="0" borderId="0" xfId="6" applyNumberFormat="1" applyFont="1"/>
    <xf numFmtId="3" fontId="23" fillId="0" borderId="0" xfId="20" applyNumberFormat="1" applyFont="1" applyAlignment="1">
      <alignment wrapText="1"/>
    </xf>
    <xf numFmtId="0" fontId="23" fillId="0" borderId="0" xfId="0" applyFont="1" applyAlignment="1">
      <alignment wrapText="1"/>
    </xf>
    <xf numFmtId="3" fontId="83" fillId="0" borderId="0" xfId="0" applyNumberFormat="1" applyFont="1"/>
    <xf numFmtId="0" fontId="83" fillId="0" borderId="0" xfId="0" applyFont="1" applyAlignment="1">
      <alignment wrapText="1"/>
    </xf>
    <xf numFmtId="0" fontId="35" fillId="11" borderId="0" xfId="0" applyFont="1" applyFill="1"/>
    <xf numFmtId="3" fontId="23" fillId="0" borderId="0" xfId="6" applyNumberFormat="1" applyFont="1" applyFill="1"/>
    <xf numFmtId="3" fontId="23" fillId="11" borderId="0" xfId="6" applyNumberFormat="1" applyFont="1" applyFill="1"/>
    <xf numFmtId="167" fontId="23" fillId="0" borderId="0" xfId="9" applyNumberFormat="1" applyFont="1"/>
    <xf numFmtId="3" fontId="23" fillId="0" borderId="0" xfId="6" applyNumberFormat="1" applyFont="1" applyFill="1" applyAlignment="1">
      <alignment horizontal="center"/>
    </xf>
    <xf numFmtId="3" fontId="23" fillId="11" borderId="0" xfId="3" applyNumberFormat="1" applyFont="1" applyFill="1"/>
    <xf numFmtId="3" fontId="23" fillId="0" borderId="0" xfId="3" applyNumberFormat="1" applyFont="1" applyFill="1"/>
    <xf numFmtId="3" fontId="23" fillId="0" borderId="0" xfId="3" applyNumberFormat="1" applyFont="1" applyFill="1" applyAlignment="1">
      <alignment horizontal="center"/>
    </xf>
    <xf numFmtId="3" fontId="153" fillId="0" borderId="0" xfId="6" applyNumberFormat="1" applyFont="1" applyFill="1"/>
    <xf numFmtId="3" fontId="153" fillId="11" borderId="0" xfId="3" applyNumberFormat="1" applyFont="1" applyFill="1"/>
    <xf numFmtId="3" fontId="153" fillId="0" borderId="0" xfId="3" applyNumberFormat="1" applyFont="1" applyFill="1"/>
    <xf numFmtId="3" fontId="153" fillId="0" borderId="0" xfId="0" applyNumberFormat="1" applyFont="1"/>
    <xf numFmtId="0" fontId="157" fillId="0" borderId="0" xfId="0" applyFont="1" applyAlignment="1">
      <alignment wrapText="1"/>
    </xf>
    <xf numFmtId="3" fontId="23" fillId="0" borderId="0" xfId="3" applyNumberFormat="1" applyFont="1"/>
    <xf numFmtId="41" fontId="23" fillId="0" borderId="0" xfId="3" applyFont="1"/>
    <xf numFmtId="0" fontId="158" fillId="0" borderId="0" xfId="0" applyFont="1" applyAlignment="1">
      <alignment wrapText="1"/>
    </xf>
    <xf numFmtId="3" fontId="154" fillId="0" borderId="0" xfId="3" applyNumberFormat="1" applyFont="1"/>
    <xf numFmtId="3" fontId="153" fillId="0" borderId="0" xfId="3" applyNumberFormat="1" applyFont="1"/>
    <xf numFmtId="0" fontId="23" fillId="11" borderId="0" xfId="0" applyFont="1" applyFill="1" applyAlignment="1">
      <alignment wrapText="1"/>
    </xf>
    <xf numFmtId="167" fontId="23" fillId="11" borderId="0" xfId="9" applyNumberFormat="1" applyFont="1" applyFill="1"/>
    <xf numFmtId="3" fontId="23" fillId="11" borderId="0" xfId="0" applyNumberFormat="1" applyFont="1" applyFill="1"/>
    <xf numFmtId="167" fontId="23" fillId="0" borderId="0" xfId="9" applyNumberFormat="1" applyFont="1" applyFill="1"/>
    <xf numFmtId="3" fontId="153" fillId="11" borderId="0" xfId="0" applyNumberFormat="1" applyFont="1" applyFill="1"/>
    <xf numFmtId="3" fontId="153" fillId="11" borderId="0" xfId="6" applyNumberFormat="1" applyFont="1" applyFill="1"/>
    <xf numFmtId="0" fontId="157" fillId="11" borderId="0" xfId="0" applyFont="1" applyFill="1" applyAlignment="1">
      <alignment wrapText="1"/>
    </xf>
    <xf numFmtId="3" fontId="153" fillId="11" borderId="0" xfId="3" applyNumberFormat="1" applyFont="1" applyFill="1" applyBorder="1"/>
    <xf numFmtId="3" fontId="23" fillId="0" borderId="0" xfId="3" applyNumberFormat="1" applyFont="1" applyFill="1" applyBorder="1" applyAlignment="1">
      <alignment horizontal="center"/>
    </xf>
    <xf numFmtId="3" fontId="153" fillId="0" borderId="0" xfId="3" applyNumberFormat="1" applyFont="1" applyFill="1" applyBorder="1"/>
    <xf numFmtId="3" fontId="23" fillId="0" borderId="0" xfId="3" applyNumberFormat="1" applyFont="1" applyBorder="1"/>
    <xf numFmtId="3" fontId="23" fillId="0" borderId="0" xfId="3" applyNumberFormat="1" applyFont="1" applyFill="1" applyBorder="1"/>
    <xf numFmtId="3" fontId="154" fillId="0" borderId="0" xfId="3" applyNumberFormat="1" applyFont="1" applyFill="1"/>
    <xf numFmtId="3" fontId="153" fillId="0" borderId="0" xfId="6" applyNumberFormat="1" applyFont="1" applyBorder="1"/>
    <xf numFmtId="3" fontId="23" fillId="0" borderId="0" xfId="6" applyNumberFormat="1" applyFont="1" applyBorder="1"/>
    <xf numFmtId="41" fontId="23" fillId="0" borderId="0" xfId="3" applyFont="1" applyBorder="1"/>
    <xf numFmtId="3" fontId="23" fillId="0" borderId="0" xfId="6" applyNumberFormat="1" applyFont="1" applyFill="1" applyBorder="1"/>
    <xf numFmtId="10" fontId="23" fillId="0" borderId="0" xfId="0" applyNumberFormat="1" applyFont="1"/>
    <xf numFmtId="280" fontId="83" fillId="0" borderId="0" xfId="0" applyNumberFormat="1" applyFont="1" applyAlignment="1">
      <alignment horizontal="center"/>
    </xf>
    <xf numFmtId="10" fontId="23" fillId="0" borderId="0" xfId="9" applyNumberFormat="1" applyFont="1"/>
    <xf numFmtId="0" fontId="153" fillId="0" borderId="0" xfId="291" applyFont="1"/>
    <xf numFmtId="0" fontId="153" fillId="0" borderId="0" xfId="291" applyFont="1" applyAlignment="1">
      <alignment horizontal="center"/>
    </xf>
    <xf numFmtId="0" fontId="23" fillId="0" borderId="0" xfId="291" applyFont="1" applyAlignment="1">
      <alignment horizontal="center"/>
    </xf>
    <xf numFmtId="171" fontId="83" fillId="0" borderId="0" xfId="523" applyNumberFormat="1" applyFont="1" applyAlignment="1">
      <alignment horizontal="center"/>
    </xf>
    <xf numFmtId="177" fontId="23" fillId="0" borderId="0" xfId="2" applyNumberFormat="1" applyFont="1" applyAlignment="1">
      <alignment horizontal="left"/>
    </xf>
    <xf numFmtId="171" fontId="23" fillId="0" borderId="0" xfId="523" applyNumberFormat="1" applyFont="1" applyAlignment="1">
      <alignment horizontal="center"/>
    </xf>
    <xf numFmtId="9" fontId="23" fillId="0" borderId="0" xfId="9" applyFont="1"/>
    <xf numFmtId="177" fontId="153" fillId="0" borderId="0" xfId="2" applyNumberFormat="1" applyFont="1" applyAlignment="1">
      <alignment horizontal="left"/>
    </xf>
    <xf numFmtId="171" fontId="23" fillId="0" borderId="0" xfId="523" applyNumberFormat="1" applyFont="1"/>
    <xf numFmtId="238" fontId="23" fillId="0" borderId="0" xfId="2" applyNumberFormat="1" applyFont="1" applyAlignment="1">
      <alignment horizontal="left"/>
    </xf>
    <xf numFmtId="10" fontId="23" fillId="0" borderId="0" xfId="523" applyNumberFormat="1" applyFont="1"/>
    <xf numFmtId="0" fontId="23" fillId="0" borderId="0" xfId="291" quotePrefix="1" applyFont="1"/>
    <xf numFmtId="10" fontId="23" fillId="0" borderId="0" xfId="523" applyNumberFormat="1" applyFont="1" applyAlignment="1">
      <alignment horizontal="center"/>
    </xf>
    <xf numFmtId="0" fontId="23" fillId="0" borderId="0" xfId="20" applyFont="1" applyAlignment="1">
      <alignment horizontal="center"/>
    </xf>
    <xf numFmtId="0" fontId="83" fillId="0" borderId="0" xfId="20" applyFont="1" applyAlignment="1">
      <alignment horizontal="left"/>
    </xf>
    <xf numFmtId="164" fontId="23" fillId="0" borderId="0" xfId="2" applyNumberFormat="1" applyFont="1" applyFill="1" applyBorder="1"/>
    <xf numFmtId="0" fontId="159" fillId="0" borderId="0" xfId="20" applyFont="1"/>
    <xf numFmtId="0" fontId="23" fillId="11" borderId="4" xfId="0" applyFont="1" applyFill="1" applyBorder="1" applyAlignment="1">
      <alignment horizontal="center" wrapText="1"/>
    </xf>
    <xf numFmtId="0" fontId="153" fillId="11" borderId="0" xfId="0" applyFont="1" applyFill="1" applyAlignment="1">
      <alignment horizontal="center"/>
    </xf>
    <xf numFmtId="0" fontId="23" fillId="11" borderId="0" xfId="0" applyFont="1" applyFill="1" applyAlignment="1">
      <alignment horizontal="center"/>
    </xf>
    <xf numFmtId="3" fontId="23" fillId="0" borderId="0" xfId="20" applyNumberFormat="1" applyFont="1"/>
    <xf numFmtId="1" fontId="23" fillId="0" borderId="0" xfId="0" applyNumberFormat="1" applyFont="1"/>
    <xf numFmtId="0" fontId="23" fillId="0" borderId="4" xfId="0" applyFont="1" applyBorder="1"/>
    <xf numFmtId="3" fontId="23" fillId="0" borderId="4" xfId="20" applyNumberFormat="1" applyFont="1" applyBorder="1"/>
    <xf numFmtId="1" fontId="23" fillId="0" borderId="4" xfId="0" applyNumberFormat="1" applyFont="1" applyBorder="1"/>
    <xf numFmtId="3" fontId="23" fillId="0" borderId="4" xfId="0" applyNumberFormat="1" applyFont="1" applyBorder="1"/>
    <xf numFmtId="0" fontId="23" fillId="0" borderId="4" xfId="0" applyFont="1" applyBorder="1" applyAlignment="1">
      <alignment wrapText="1"/>
    </xf>
    <xf numFmtId="167" fontId="23" fillId="0" borderId="4" xfId="0" applyNumberFormat="1" applyFont="1" applyBorder="1"/>
    <xf numFmtId="3" fontId="23" fillId="11" borderId="4" xfId="0" applyNumberFormat="1" applyFont="1" applyFill="1" applyBorder="1"/>
    <xf numFmtId="10" fontId="23" fillId="11" borderId="4" xfId="9" applyNumberFormat="1" applyFont="1" applyFill="1" applyBorder="1"/>
    <xf numFmtId="0" fontId="83" fillId="0" borderId="0" xfId="20" applyFont="1"/>
    <xf numFmtId="0" fontId="23" fillId="0" borderId="0" xfId="20" applyFont="1" applyAlignment="1">
      <alignment horizontal="left"/>
    </xf>
    <xf numFmtId="10" fontId="23" fillId="11" borderId="0" xfId="9" applyNumberFormat="1" applyFont="1" applyFill="1"/>
    <xf numFmtId="10" fontId="23" fillId="0" borderId="0" xfId="9" applyNumberFormat="1" applyFont="1" applyFill="1"/>
    <xf numFmtId="10" fontId="23" fillId="0" borderId="4" xfId="9" applyNumberFormat="1" applyFont="1" applyFill="1" applyBorder="1"/>
    <xf numFmtId="10" fontId="23" fillId="0" borderId="4" xfId="9" applyNumberFormat="1" applyFont="1" applyBorder="1"/>
    <xf numFmtId="3" fontId="23" fillId="0" borderId="0" xfId="9" applyNumberFormat="1" applyFont="1" applyFill="1"/>
    <xf numFmtId="3" fontId="23" fillId="0" borderId="0" xfId="9" applyNumberFormat="1" applyFont="1"/>
    <xf numFmtId="0" fontId="153" fillId="0" borderId="0" xfId="20" applyFont="1" applyAlignment="1">
      <alignment horizontal="left"/>
    </xf>
    <xf numFmtId="174" fontId="23" fillId="0" borderId="0" xfId="2" applyNumberFormat="1" applyFont="1"/>
    <xf numFmtId="0" fontId="153" fillId="0" borderId="0" xfId="20" applyFont="1"/>
    <xf numFmtId="0" fontId="153" fillId="0" borderId="0" xfId="20" applyFont="1" applyAlignment="1">
      <alignment horizontal="center"/>
    </xf>
    <xf numFmtId="3" fontId="23" fillId="0" borderId="0" xfId="2" applyNumberFormat="1" applyFont="1" applyFill="1"/>
    <xf numFmtId="0" fontId="23" fillId="0" borderId="0" xfId="20" applyFont="1" applyProtection="1">
      <protection locked="0"/>
    </xf>
    <xf numFmtId="3" fontId="153" fillId="8" borderId="0" xfId="2" applyNumberFormat="1" applyFont="1" applyFill="1" applyProtection="1">
      <protection locked="0"/>
    </xf>
    <xf numFmtId="3" fontId="23" fillId="0" borderId="0" xfId="2" applyNumberFormat="1" applyFont="1" applyFill="1" applyProtection="1">
      <protection locked="0"/>
    </xf>
    <xf numFmtId="165" fontId="153" fillId="0" borderId="0" xfId="2" applyNumberFormat="1" applyFont="1" applyFill="1"/>
    <xf numFmtId="171" fontId="23" fillId="0" borderId="0" xfId="10" applyNumberFormat="1" applyFont="1" applyFill="1"/>
    <xf numFmtId="43" fontId="23" fillId="0" borderId="0" xfId="2" applyFont="1" applyFill="1"/>
    <xf numFmtId="164" fontId="23" fillId="0" borderId="0" xfId="20" applyNumberFormat="1" applyFont="1"/>
    <xf numFmtId="164" fontId="23" fillId="0" borderId="0" xfId="4" applyNumberFormat="1" applyFont="1" applyFill="1"/>
    <xf numFmtId="164" fontId="83" fillId="0" borderId="0" xfId="2" applyNumberFormat="1" applyFont="1" applyFill="1" applyAlignment="1"/>
    <xf numFmtId="164" fontId="154" fillId="0" borderId="0" xfId="20" applyNumberFormat="1" applyFont="1" applyAlignment="1">
      <alignment horizontal="center"/>
    </xf>
    <xf numFmtId="0" fontId="23" fillId="0" borderId="0" xfId="0" applyFont="1" applyAlignment="1">
      <alignment vertical="center" wrapText="1"/>
    </xf>
    <xf numFmtId="171" fontId="23" fillId="0" borderId="0" xfId="20" applyNumberFormat="1" applyFont="1"/>
    <xf numFmtId="171" fontId="23" fillId="8" borderId="0" xfId="20" applyNumberFormat="1" applyFont="1" applyFill="1" applyProtection="1">
      <protection locked="0"/>
    </xf>
    <xf numFmtId="3" fontId="23" fillId="0" borderId="0" xfId="20" applyNumberFormat="1" applyFont="1" applyAlignment="1">
      <alignment horizontal="center"/>
    </xf>
    <xf numFmtId="4" fontId="23" fillId="0" borderId="0" xfId="20" applyNumberFormat="1" applyFont="1"/>
    <xf numFmtId="182" fontId="23" fillId="0" borderId="0" xfId="20" applyNumberFormat="1" applyFont="1" applyAlignment="1">
      <alignment horizontal="center"/>
    </xf>
    <xf numFmtId="164" fontId="23" fillId="0" borderId="0" xfId="20" applyNumberFormat="1" applyFont="1" applyAlignment="1">
      <alignment horizontal="center"/>
    </xf>
    <xf numFmtId="172" fontId="23" fillId="0" borderId="0" xfId="9" applyNumberFormat="1" applyFont="1"/>
    <xf numFmtId="37" fontId="83" fillId="0" borderId="1" xfId="20" applyNumberFormat="1" applyFont="1" applyBorder="1" applyAlignment="1">
      <alignment horizontal="center"/>
    </xf>
    <xf numFmtId="0" fontId="83" fillId="10" borderId="7" xfId="20" applyFont="1" applyFill="1" applyBorder="1"/>
    <xf numFmtId="0" fontId="83" fillId="10" borderId="8" xfId="20" applyFont="1" applyFill="1" applyBorder="1"/>
    <xf numFmtId="0" fontId="83" fillId="10" borderId="8" xfId="20" applyFont="1" applyFill="1" applyBorder="1" applyAlignment="1">
      <alignment horizontal="center" wrapText="1"/>
    </xf>
    <xf numFmtId="0" fontId="83" fillId="10" borderId="1" xfId="20" applyFont="1" applyFill="1" applyBorder="1" applyAlignment="1">
      <alignment horizontal="center"/>
    </xf>
    <xf numFmtId="0" fontId="83" fillId="10" borderId="1" xfId="20" applyFont="1" applyFill="1" applyBorder="1" applyAlignment="1">
      <alignment horizontal="center" wrapText="1"/>
    </xf>
    <xf numFmtId="0" fontId="23" fillId="0" borderId="7" xfId="20" applyFont="1" applyBorder="1" applyAlignment="1">
      <alignment horizontal="center"/>
    </xf>
    <xf numFmtId="0" fontId="83" fillId="0" borderId="8" xfId="20" applyFont="1" applyBorder="1"/>
    <xf numFmtId="0" fontId="23" fillId="0" borderId="8" xfId="20" applyFont="1" applyBorder="1"/>
    <xf numFmtId="0" fontId="23" fillId="0" borderId="8" xfId="20" applyFont="1" applyBorder="1" applyAlignment="1">
      <alignment horizontal="center"/>
    </xf>
    <xf numFmtId="0" fontId="23" fillId="0" borderId="31" xfId="20" applyFont="1" applyBorder="1"/>
    <xf numFmtId="3" fontId="23" fillId="0" borderId="31" xfId="20" applyNumberFormat="1" applyFont="1" applyBorder="1"/>
    <xf numFmtId="0" fontId="23" fillId="0" borderId="16" xfId="20" applyFont="1" applyBorder="1" applyAlignment="1">
      <alignment horizontal="center"/>
    </xf>
    <xf numFmtId="0" fontId="23" fillId="11" borderId="0" xfId="20" applyFont="1" applyFill="1"/>
    <xf numFmtId="3" fontId="23" fillId="11" borderId="20" xfId="2" applyNumberFormat="1" applyFont="1" applyFill="1" applyBorder="1"/>
    <xf numFmtId="3" fontId="23" fillId="78" borderId="20" xfId="2" applyNumberFormat="1" applyFont="1" applyFill="1" applyBorder="1"/>
    <xf numFmtId="0" fontId="23" fillId="11" borderId="0" xfId="20" applyFont="1" applyFill="1" applyAlignment="1">
      <alignment horizontal="left"/>
    </xf>
    <xf numFmtId="3" fontId="160" fillId="0" borderId="20" xfId="2" applyNumberFormat="1" applyFont="1" applyFill="1" applyBorder="1"/>
    <xf numFmtId="3" fontId="23" fillId="0" borderId="20" xfId="2" applyNumberFormat="1" applyFont="1" applyFill="1" applyBorder="1"/>
    <xf numFmtId="0" fontId="23" fillId="0" borderId="6" xfId="20" applyFont="1" applyBorder="1" applyAlignment="1">
      <alignment horizontal="center"/>
    </xf>
    <xf numFmtId="0" fontId="83" fillId="0" borderId="2" xfId="20" applyFont="1" applyBorder="1" applyAlignment="1">
      <alignment horizontal="left"/>
    </xf>
    <xf numFmtId="0" fontId="23" fillId="0" borderId="2" xfId="20" applyFont="1" applyBorder="1"/>
    <xf numFmtId="0" fontId="23" fillId="0" borderId="2" xfId="20" applyFont="1" applyBorder="1" applyAlignment="1">
      <alignment horizontal="center"/>
    </xf>
    <xf numFmtId="3" fontId="23" fillId="0" borderId="21" xfId="2" applyNumberFormat="1" applyFont="1" applyFill="1" applyBorder="1"/>
    <xf numFmtId="0" fontId="83" fillId="0" borderId="0" xfId="20" applyFont="1" applyAlignment="1">
      <alignment horizontal="centerContinuous"/>
    </xf>
    <xf numFmtId="37" fontId="23" fillId="0" borderId="0" xfId="20" applyNumberFormat="1" applyFont="1" applyAlignment="1">
      <alignment horizontal="left"/>
    </xf>
    <xf numFmtId="37" fontId="161" fillId="0" borderId="0" xfId="20" applyNumberFormat="1" applyFont="1" applyAlignment="1">
      <alignment horizontal="left"/>
    </xf>
    <xf numFmtId="0" fontId="162" fillId="0" borderId="0" xfId="20" applyFont="1" applyAlignment="1">
      <alignment horizontal="center"/>
    </xf>
    <xf numFmtId="37" fontId="83" fillId="0" borderId="0" xfId="20" applyNumberFormat="1" applyFont="1" applyAlignment="1">
      <alignment horizontal="center"/>
    </xf>
    <xf numFmtId="0" fontId="83" fillId="10" borderId="8" xfId="20" applyFont="1" applyFill="1" applyBorder="1" applyAlignment="1">
      <alignment wrapText="1"/>
    </xf>
    <xf numFmtId="0" fontId="83" fillId="10" borderId="8" xfId="20" applyFont="1" applyFill="1" applyBorder="1" applyAlignment="1">
      <alignment horizontal="center"/>
    </xf>
    <xf numFmtId="0" fontId="83" fillId="10" borderId="31" xfId="20" applyFont="1" applyFill="1" applyBorder="1" applyAlignment="1">
      <alignment horizontal="center" wrapText="1"/>
    </xf>
    <xf numFmtId="3" fontId="23" fillId="0" borderId="8" xfId="20" applyNumberFormat="1" applyFont="1" applyBorder="1"/>
    <xf numFmtId="0" fontId="23" fillId="0" borderId="24" xfId="20" applyFont="1" applyBorder="1"/>
    <xf numFmtId="0" fontId="23" fillId="79" borderId="0" xfId="20" applyFont="1" applyFill="1" applyAlignment="1">
      <alignment horizontal="left"/>
    </xf>
    <xf numFmtId="3" fontId="23" fillId="11" borderId="0" xfId="2" applyNumberFormat="1" applyFont="1" applyFill="1" applyBorder="1"/>
    <xf numFmtId="3" fontId="23" fillId="0" borderId="15" xfId="2" applyNumberFormat="1" applyFont="1" applyFill="1" applyBorder="1"/>
    <xf numFmtId="3" fontId="23" fillId="0" borderId="20" xfId="20" applyNumberFormat="1" applyFont="1" applyBorder="1" applyAlignment="1">
      <alignment horizontal="center"/>
    </xf>
    <xf numFmtId="0" fontId="23" fillId="7" borderId="0" xfId="20" applyFont="1" applyFill="1"/>
    <xf numFmtId="3" fontId="23" fillId="0" borderId="20" xfId="20" applyNumberFormat="1" applyFont="1" applyBorder="1"/>
    <xf numFmtId="3" fontId="23" fillId="79" borderId="0" xfId="20" applyNumberFormat="1" applyFont="1" applyFill="1" applyAlignment="1">
      <alignment horizontal="left"/>
    </xf>
    <xf numFmtId="3" fontId="23" fillId="0" borderId="0" xfId="20" applyNumberFormat="1" applyFont="1" applyAlignment="1">
      <alignment horizontal="right"/>
    </xf>
    <xf numFmtId="164" fontId="23" fillId="11" borderId="0" xfId="10334" applyNumberFormat="1" applyFont="1" applyFill="1"/>
    <xf numFmtId="0" fontId="23" fillId="79" borderId="0" xfId="20" applyFont="1" applyFill="1"/>
    <xf numFmtId="0" fontId="23" fillId="0" borderId="0" xfId="20" applyFont="1" applyAlignment="1">
      <alignment horizontal="right"/>
    </xf>
    <xf numFmtId="0" fontId="23" fillId="7" borderId="0" xfId="20" applyFont="1" applyFill="1" applyAlignment="1">
      <alignment horizontal="right"/>
    </xf>
    <xf numFmtId="0" fontId="23" fillId="0" borderId="2" xfId="20" applyFont="1" applyBorder="1" applyAlignment="1">
      <alignment horizontal="right"/>
    </xf>
    <xf numFmtId="3" fontId="23" fillId="11" borderId="75" xfId="2" applyNumberFormat="1" applyFont="1" applyFill="1" applyBorder="1"/>
    <xf numFmtId="3" fontId="23" fillId="0" borderId="9" xfId="2" applyNumberFormat="1" applyFont="1" applyFill="1" applyBorder="1"/>
    <xf numFmtId="3" fontId="23" fillId="0" borderId="21" xfId="20" applyNumberFormat="1" applyFont="1" applyBorder="1" applyAlignment="1">
      <alignment horizontal="center"/>
    </xf>
    <xf numFmtId="164" fontId="23" fillId="0" borderId="0" xfId="2" applyNumberFormat="1" applyFont="1" applyFill="1" applyBorder="1" applyAlignment="1"/>
    <xf numFmtId="43" fontId="23" fillId="0" borderId="0" xfId="2" applyFont="1" applyFill="1" applyBorder="1" applyAlignment="1"/>
    <xf numFmtId="37" fontId="83" fillId="0" borderId="0" xfId="20" applyNumberFormat="1" applyFont="1" applyAlignment="1">
      <alignment horizontal="left"/>
    </xf>
    <xf numFmtId="0" fontId="83" fillId="10" borderId="11" xfId="20" applyFont="1" applyFill="1" applyBorder="1"/>
    <xf numFmtId="0" fontId="83" fillId="10" borderId="12" xfId="20" applyFont="1" applyFill="1" applyBorder="1"/>
    <xf numFmtId="0" fontId="83" fillId="10" borderId="12" xfId="20" applyFont="1" applyFill="1" applyBorder="1" applyAlignment="1">
      <alignment wrapText="1"/>
    </xf>
    <xf numFmtId="0" fontId="83" fillId="10" borderId="12" xfId="20" applyFont="1" applyFill="1" applyBorder="1" applyAlignment="1">
      <alignment horizontal="center" wrapText="1"/>
    </xf>
    <xf numFmtId="0" fontId="23" fillId="10" borderId="12" xfId="20" applyFont="1" applyFill="1" applyBorder="1"/>
    <xf numFmtId="0" fontId="23" fillId="10" borderId="14" xfId="20" applyFont="1" applyFill="1" applyBorder="1"/>
    <xf numFmtId="0" fontId="83" fillId="0" borderId="16" xfId="20" applyFont="1" applyBorder="1"/>
    <xf numFmtId="0" fontId="83" fillId="0" borderId="0" xfId="20" applyFont="1" applyAlignment="1">
      <alignment wrapText="1"/>
    </xf>
    <xf numFmtId="0" fontId="23" fillId="0" borderId="15" xfId="20" applyFont="1" applyBorder="1"/>
    <xf numFmtId="3" fontId="156" fillId="11" borderId="0" xfId="2" applyNumberFormat="1" applyFont="1" applyFill="1" applyBorder="1"/>
    <xf numFmtId="0" fontId="23" fillId="0" borderId="2" xfId="20" applyFont="1" applyBorder="1" applyAlignment="1">
      <alignment horizontal="left"/>
    </xf>
    <xf numFmtId="164" fontId="23" fillId="0" borderId="2" xfId="2" applyNumberFormat="1" applyFont="1" applyFill="1" applyBorder="1"/>
    <xf numFmtId="0" fontId="23" fillId="0" borderId="9" xfId="20" applyFont="1" applyBorder="1"/>
    <xf numFmtId="0" fontId="83" fillId="0" borderId="0" xfId="20" applyFont="1" applyAlignment="1">
      <alignment horizontal="left" indent="1"/>
    </xf>
    <xf numFmtId="0" fontId="23" fillId="0" borderId="7" xfId="20" applyFont="1" applyBorder="1"/>
    <xf numFmtId="0" fontId="83" fillId="0" borderId="8" xfId="20" applyFont="1" applyBorder="1" applyAlignment="1">
      <alignment horizontal="left"/>
    </xf>
    <xf numFmtId="0" fontId="23" fillId="0" borderId="8" xfId="20" applyFont="1" applyBorder="1" applyAlignment="1">
      <alignment horizontal="left"/>
    </xf>
    <xf numFmtId="3" fontId="83" fillId="0" borderId="8" xfId="20" applyNumberFormat="1" applyFont="1" applyBorder="1" applyAlignment="1">
      <alignment horizontal="center"/>
    </xf>
    <xf numFmtId="167" fontId="23" fillId="0" borderId="8" xfId="20" applyNumberFormat="1" applyFont="1" applyBorder="1"/>
    <xf numFmtId="3" fontId="23" fillId="0" borderId="0" xfId="2" applyNumberFormat="1" applyFont="1" applyFill="1" applyBorder="1"/>
    <xf numFmtId="0" fontId="23" fillId="0" borderId="15" xfId="20" applyFont="1" applyBorder="1" applyAlignment="1">
      <alignment horizontal="center" wrapText="1"/>
    </xf>
    <xf numFmtId="164" fontId="23" fillId="0" borderId="0" xfId="2" applyNumberFormat="1" applyFont="1" applyFill="1" applyBorder="1" applyAlignment="1">
      <alignment horizontal="left"/>
    </xf>
    <xf numFmtId="3" fontId="23" fillId="79" borderId="0" xfId="6" applyNumberFormat="1" applyFont="1" applyFill="1" applyBorder="1"/>
    <xf numFmtId="164" fontId="23" fillId="11" borderId="0" xfId="2" applyNumberFormat="1" applyFont="1" applyFill="1" applyBorder="1" applyAlignment="1">
      <alignment horizontal="center"/>
    </xf>
    <xf numFmtId="37" fontId="23" fillId="11" borderId="0" xfId="2" applyNumberFormat="1" applyFont="1" applyFill="1" applyBorder="1" applyAlignment="1">
      <alignment horizontal="right"/>
    </xf>
    <xf numFmtId="0" fontId="83" fillId="0" borderId="2" xfId="20" applyFont="1" applyBorder="1"/>
    <xf numFmtId="166" fontId="23" fillId="0" borderId="2" xfId="6" applyNumberFormat="1" applyFont="1" applyFill="1" applyBorder="1"/>
    <xf numFmtId="164" fontId="23" fillId="0" borderId="0" xfId="2" applyNumberFormat="1" applyFont="1" applyBorder="1"/>
    <xf numFmtId="0" fontId="23" fillId="69" borderId="12" xfId="20" applyFont="1" applyFill="1" applyBorder="1"/>
    <xf numFmtId="3" fontId="23" fillId="8" borderId="0" xfId="2" applyNumberFormat="1" applyFont="1" applyFill="1" applyBorder="1"/>
    <xf numFmtId="164" fontId="23" fillId="10" borderId="12" xfId="2" applyNumberFormat="1" applyFont="1" applyFill="1" applyBorder="1"/>
    <xf numFmtId="3" fontId="23" fillId="0" borderId="15" xfId="20" applyNumberFormat="1" applyFont="1" applyBorder="1" applyAlignment="1">
      <alignment horizontal="center"/>
    </xf>
    <xf numFmtId="164" fontId="23" fillId="0" borderId="2" xfId="2" applyNumberFormat="1" applyFont="1" applyBorder="1"/>
    <xf numFmtId="3" fontId="23" fillId="0" borderId="9" xfId="20" applyNumberFormat="1" applyFont="1" applyBorder="1" applyAlignment="1">
      <alignment horizontal="center"/>
    </xf>
    <xf numFmtId="166" fontId="23" fillId="0" borderId="0" xfId="6" applyNumberFormat="1" applyFont="1" applyFill="1" applyBorder="1"/>
    <xf numFmtId="0" fontId="163" fillId="0" borderId="0" xfId="20" applyFont="1"/>
    <xf numFmtId="3" fontId="23" fillId="69" borderId="0" xfId="2" applyNumberFormat="1" applyFont="1" applyFill="1" applyBorder="1"/>
    <xf numFmtId="0" fontId="83" fillId="0" borderId="15" xfId="20" applyFont="1" applyBorder="1" applyAlignment="1">
      <alignment horizontal="center" wrapText="1"/>
    </xf>
    <xf numFmtId="0" fontId="83" fillId="0" borderId="7" xfId="20" applyFont="1" applyBorder="1"/>
    <xf numFmtId="0" fontId="83" fillId="0" borderId="8" xfId="20" applyFont="1" applyBorder="1" applyAlignment="1">
      <alignment wrapText="1"/>
    </xf>
    <xf numFmtId="0" fontId="83" fillId="0" borderId="8" xfId="20" applyFont="1" applyBorder="1" applyAlignment="1">
      <alignment horizontal="center"/>
    </xf>
    <xf numFmtId="0" fontId="83" fillId="0" borderId="8" xfId="20" applyFont="1" applyBorder="1" applyAlignment="1">
      <alignment horizontal="center" wrapText="1"/>
    </xf>
    <xf numFmtId="0" fontId="83" fillId="0" borderId="24" xfId="20" applyFont="1" applyBorder="1" applyAlignment="1">
      <alignment horizontal="center" wrapText="1"/>
    </xf>
    <xf numFmtId="37" fontId="23" fillId="0" borderId="0" xfId="2" applyNumberFormat="1" applyFont="1" applyFill="1" applyBorder="1"/>
    <xf numFmtId="3" fontId="23" fillId="0" borderId="15" xfId="20" applyNumberFormat="1" applyFont="1" applyBorder="1" applyAlignment="1">
      <alignment horizontal="right"/>
    </xf>
    <xf numFmtId="0" fontId="23" fillId="0" borderId="6" xfId="20" applyFont="1" applyBorder="1"/>
    <xf numFmtId="0" fontId="23" fillId="0" borderId="15" xfId="20" applyFont="1" applyBorder="1" applyAlignment="1">
      <alignment horizontal="center"/>
    </xf>
    <xf numFmtId="164" fontId="23" fillId="0" borderId="2" xfId="20" applyNumberFormat="1" applyFont="1" applyBorder="1" applyAlignment="1">
      <alignment horizontal="center"/>
    </xf>
    <xf numFmtId="0" fontId="23" fillId="0" borderId="9" xfId="20" applyFont="1" applyBorder="1" applyAlignment="1">
      <alignment horizontal="center"/>
    </xf>
    <xf numFmtId="43" fontId="23" fillId="0" borderId="15" xfId="2" applyFont="1" applyFill="1" applyBorder="1"/>
    <xf numFmtId="0" fontId="23" fillId="0" borderId="0" xfId="20" applyFont="1" applyAlignment="1">
      <alignment horizontal="left" wrapText="1"/>
    </xf>
    <xf numFmtId="3" fontId="164" fillId="11" borderId="0" xfId="10334" applyNumberFormat="1" applyFont="1" applyFill="1"/>
    <xf numFmtId="3" fontId="156" fillId="0" borderId="15" xfId="20" applyNumberFormat="1" applyFont="1" applyBorder="1" applyAlignment="1">
      <alignment horizontal="center" wrapText="1"/>
    </xf>
    <xf numFmtId="1" fontId="156" fillId="0" borderId="0" xfId="2" applyNumberFormat="1" applyFont="1" applyFill="1" applyBorder="1"/>
    <xf numFmtId="3" fontId="156" fillId="0" borderId="0" xfId="2" applyNumberFormat="1" applyFont="1" applyFill="1" applyBorder="1"/>
    <xf numFmtId="3" fontId="83" fillId="10" borderId="12" xfId="20" applyNumberFormat="1" applyFont="1" applyFill="1" applyBorder="1" applyAlignment="1">
      <alignment horizontal="center" wrapText="1"/>
    </xf>
    <xf numFmtId="3" fontId="23" fillId="0" borderId="8" xfId="20" applyNumberFormat="1" applyFont="1" applyBorder="1" applyAlignment="1">
      <alignment horizontal="center"/>
    </xf>
    <xf numFmtId="3" fontId="23" fillId="0" borderId="8" xfId="2" applyNumberFormat="1" applyFont="1" applyFill="1" applyBorder="1"/>
    <xf numFmtId="3" fontId="83" fillId="0" borderId="0" xfId="20" applyNumberFormat="1" applyFont="1" applyAlignment="1">
      <alignment horizontal="center"/>
    </xf>
    <xf numFmtId="1" fontId="23" fillId="0" borderId="0" xfId="2" applyNumberFormat="1" applyFont="1" applyFill="1" applyBorder="1"/>
    <xf numFmtId="1" fontId="23" fillId="0" borderId="0" xfId="20" applyNumberFormat="1" applyFont="1"/>
    <xf numFmtId="3" fontId="23" fillId="0" borderId="0" xfId="20" applyNumberFormat="1" applyFont="1" applyAlignment="1">
      <alignment horizontal="left"/>
    </xf>
    <xf numFmtId="167" fontId="23" fillId="0" borderId="0" xfId="20" applyNumberFormat="1" applyFont="1"/>
    <xf numFmtId="167" fontId="23" fillId="0" borderId="0" xfId="9" applyNumberFormat="1" applyFont="1" applyFill="1" applyBorder="1"/>
    <xf numFmtId="164" fontId="83" fillId="0" borderId="0" xfId="2" applyNumberFormat="1" applyFont="1" applyFill="1" applyBorder="1"/>
    <xf numFmtId="167" fontId="83" fillId="0" borderId="0" xfId="2" applyNumberFormat="1" applyFont="1" applyFill="1" applyBorder="1"/>
    <xf numFmtId="3" fontId="23" fillId="0" borderId="0" xfId="20" applyNumberFormat="1" applyFont="1" applyAlignment="1">
      <alignment horizontal="left" wrapText="1"/>
    </xf>
    <xf numFmtId="3" fontId="23" fillId="79" borderId="0" xfId="20" applyNumberFormat="1" applyFont="1" applyFill="1" applyAlignment="1">
      <alignment horizontal="left" wrapText="1"/>
    </xf>
    <xf numFmtId="3" fontId="23" fillId="0" borderId="2" xfId="20" applyNumberFormat="1" applyFont="1" applyBorder="1"/>
    <xf numFmtId="3" fontId="23" fillId="0" borderId="2" xfId="20" applyNumberFormat="1" applyFont="1" applyBorder="1" applyAlignment="1">
      <alignment horizontal="left"/>
    </xf>
    <xf numFmtId="3" fontId="23" fillId="0" borderId="2" xfId="20" applyNumberFormat="1" applyFont="1" applyBorder="1" applyAlignment="1">
      <alignment horizontal="right"/>
    </xf>
    <xf numFmtId="1" fontId="23" fillId="11" borderId="2" xfId="10334" applyNumberFormat="1" applyFont="1" applyFill="1" applyBorder="1"/>
    <xf numFmtId="3" fontId="23" fillId="0" borderId="2" xfId="2" applyNumberFormat="1" applyFont="1" applyBorder="1"/>
    <xf numFmtId="167" fontId="83" fillId="0" borderId="0" xfId="20" applyNumberFormat="1" applyFont="1" applyAlignment="1">
      <alignment horizontal="left"/>
    </xf>
    <xf numFmtId="0" fontId="83" fillId="0" borderId="15" xfId="20" applyFont="1" applyBorder="1" applyAlignment="1">
      <alignment horizontal="center"/>
    </xf>
    <xf numFmtId="169" fontId="23" fillId="0" borderId="0" xfId="20" applyNumberFormat="1" applyFont="1"/>
    <xf numFmtId="10" fontId="23" fillId="11" borderId="0" xfId="9" applyNumberFormat="1" applyFont="1" applyFill="1" applyBorder="1"/>
    <xf numFmtId="167" fontId="23" fillId="0" borderId="0" xfId="9" applyNumberFormat="1" applyFont="1" applyFill="1" applyBorder="1" applyAlignment="1">
      <alignment horizontal="center"/>
    </xf>
    <xf numFmtId="10" fontId="23" fillId="0" borderId="15" xfId="9" applyNumberFormat="1" applyFont="1" applyFill="1" applyBorder="1" applyAlignment="1">
      <alignment horizontal="center"/>
    </xf>
    <xf numFmtId="10" fontId="23" fillId="11" borderId="2" xfId="9" applyNumberFormat="1" applyFont="1" applyFill="1" applyBorder="1"/>
    <xf numFmtId="3" fontId="23" fillId="8" borderId="75" xfId="2" applyNumberFormat="1" applyFont="1" applyFill="1" applyBorder="1"/>
    <xf numFmtId="0" fontId="83" fillId="0" borderId="2" xfId="20" applyFont="1" applyBorder="1" applyAlignment="1">
      <alignment horizontal="center" wrapText="1"/>
    </xf>
    <xf numFmtId="0" fontId="83" fillId="0" borderId="9" xfId="20" applyFont="1" applyBorder="1" applyAlignment="1">
      <alignment horizontal="center" wrapText="1"/>
    </xf>
    <xf numFmtId="0" fontId="23" fillId="0" borderId="8" xfId="20" applyFont="1" applyBorder="1" applyAlignment="1">
      <alignment wrapText="1"/>
    </xf>
    <xf numFmtId="0" fontId="83" fillId="0" borderId="24" xfId="20" applyFont="1" applyBorder="1" applyAlignment="1">
      <alignment wrapText="1"/>
    </xf>
    <xf numFmtId="37" fontId="23" fillId="8" borderId="0" xfId="2" applyNumberFormat="1" applyFont="1" applyFill="1" applyBorder="1"/>
    <xf numFmtId="176" fontId="23" fillId="11" borderId="0" xfId="2" applyNumberFormat="1" applyFont="1" applyFill="1" applyBorder="1"/>
    <xf numFmtId="2" fontId="23" fillId="0" borderId="0" xfId="20" applyNumberFormat="1" applyFont="1" applyAlignment="1">
      <alignment horizontal="center"/>
    </xf>
    <xf numFmtId="0" fontId="83" fillId="0" borderId="0" xfId="20" applyFont="1" applyAlignment="1">
      <alignment horizontal="right"/>
    </xf>
    <xf numFmtId="0" fontId="153" fillId="0" borderId="16" xfId="0" applyFont="1" applyBorder="1" applyAlignment="1">
      <alignment horizontal="left"/>
    </xf>
    <xf numFmtId="0" fontId="153" fillId="0" borderId="0" xfId="0" applyFont="1" applyAlignment="1">
      <alignment wrapText="1"/>
    </xf>
    <xf numFmtId="0" fontId="161" fillId="0" borderId="0" xfId="0" applyFont="1" applyAlignment="1">
      <alignment horizontal="center"/>
    </xf>
    <xf numFmtId="0" fontId="83" fillId="0" borderId="0" xfId="0" applyFont="1" applyAlignment="1">
      <alignment horizontal="center" wrapText="1"/>
    </xf>
    <xf numFmtId="0" fontId="83" fillId="0" borderId="15" xfId="0" applyFont="1" applyBorder="1" applyAlignment="1">
      <alignment horizontal="center" wrapText="1"/>
    </xf>
    <xf numFmtId="0" fontId="23" fillId="0" borderId="16" xfId="0" applyFont="1" applyBorder="1" applyAlignment="1">
      <alignment horizontal="center"/>
    </xf>
    <xf numFmtId="3" fontId="23" fillId="0" borderId="0" xfId="0" applyNumberFormat="1" applyFont="1" applyAlignment="1">
      <alignment horizontal="center"/>
    </xf>
    <xf numFmtId="3" fontId="23" fillId="0" borderId="0" xfId="6" applyNumberFormat="1" applyFont="1" applyFill="1" applyBorder="1" applyAlignment="1">
      <alignment horizontal="left"/>
    </xf>
    <xf numFmtId="3" fontId="23" fillId="0" borderId="0" xfId="0" applyNumberFormat="1" applyFont="1" applyAlignment="1">
      <alignment horizontal="left"/>
    </xf>
    <xf numFmtId="0" fontId="153" fillId="0" borderId="0" xfId="0" applyFont="1" applyAlignment="1">
      <alignment horizontal="left"/>
    </xf>
    <xf numFmtId="0" fontId="23" fillId="0" borderId="16" xfId="0" applyFont="1" applyBorder="1" applyAlignment="1">
      <alignment horizontal="left"/>
    </xf>
    <xf numFmtId="0" fontId="23" fillId="0" borderId="15" xfId="0" applyFont="1" applyBorder="1"/>
    <xf numFmtId="0" fontId="23" fillId="0" borderId="6" xfId="0" applyFont="1" applyBorder="1" applyAlignment="1">
      <alignment horizontal="left"/>
    </xf>
    <xf numFmtId="0" fontId="23" fillId="0" borderId="2" xfId="0" applyFont="1" applyBorder="1"/>
    <xf numFmtId="0" fontId="23" fillId="0" borderId="2" xfId="0" applyFont="1" applyBorder="1" applyAlignment="1">
      <alignment horizontal="center"/>
    </xf>
    <xf numFmtId="166" fontId="23" fillId="0" borderId="2" xfId="0" applyNumberFormat="1" applyFont="1" applyBorder="1" applyAlignment="1">
      <alignment horizontal="center"/>
    </xf>
    <xf numFmtId="0" fontId="23" fillId="0" borderId="9" xfId="0" applyFont="1" applyBorder="1"/>
    <xf numFmtId="3" fontId="23" fillId="0" borderId="0" xfId="9" applyNumberFormat="1" applyFont="1" applyFill="1" applyBorder="1"/>
    <xf numFmtId="0" fontId="23" fillId="0" borderId="6" xfId="20" applyFont="1" applyBorder="1" applyAlignment="1">
      <alignment horizontal="left"/>
    </xf>
    <xf numFmtId="37" fontId="23" fillId="0" borderId="0" xfId="2" applyNumberFormat="1" applyFont="1" applyFill="1"/>
    <xf numFmtId="0" fontId="83" fillId="69" borderId="12" xfId="20" applyFont="1" applyFill="1" applyBorder="1" applyAlignment="1">
      <alignment horizontal="center"/>
    </xf>
    <xf numFmtId="0" fontId="23" fillId="0" borderId="76" xfId="20" applyFont="1" applyBorder="1"/>
    <xf numFmtId="3" fontId="23" fillId="11" borderId="0" xfId="20" applyNumberFormat="1" applyFont="1" applyFill="1" applyAlignment="1">
      <alignment horizontal="center"/>
    </xf>
    <xf numFmtId="3" fontId="23" fillId="11" borderId="0" xfId="20" applyNumberFormat="1" applyFont="1" applyFill="1"/>
    <xf numFmtId="3" fontId="23" fillId="11" borderId="0" xfId="6" applyNumberFormat="1" applyFont="1" applyFill="1" applyBorder="1"/>
    <xf numFmtId="3" fontId="23" fillId="0" borderId="73" xfId="6" applyNumberFormat="1" applyFont="1" applyFill="1" applyBorder="1"/>
    <xf numFmtId="3" fontId="23" fillId="0" borderId="73" xfId="20" applyNumberFormat="1" applyFont="1" applyBorder="1"/>
    <xf numFmtId="0" fontId="23" fillId="0" borderId="78" xfId="20" applyFont="1" applyBorder="1"/>
    <xf numFmtId="3" fontId="23" fillId="11" borderId="0" xfId="20" applyNumberFormat="1" applyFont="1" applyFill="1" applyAlignment="1">
      <alignment horizontal="right"/>
    </xf>
    <xf numFmtId="3" fontId="23" fillId="11" borderId="73" xfId="6" applyNumberFormat="1" applyFont="1" applyFill="1" applyBorder="1"/>
    <xf numFmtId="0" fontId="23" fillId="0" borderId="0" xfId="1" applyFont="1" applyAlignment="1">
      <alignment horizontal="center"/>
    </xf>
    <xf numFmtId="0" fontId="23" fillId="0" borderId="0" xfId="1" applyFont="1"/>
    <xf numFmtId="164" fontId="23" fillId="0" borderId="0" xfId="2" applyNumberFormat="1" applyFont="1" applyAlignment="1"/>
    <xf numFmtId="0" fontId="165" fillId="0" borderId="0" xfId="1" applyFont="1"/>
    <xf numFmtId="0" fontId="23" fillId="0" borderId="0" xfId="1" applyFont="1" applyAlignment="1">
      <alignment horizontal="left"/>
    </xf>
    <xf numFmtId="0" fontId="162" fillId="0" borderId="0" xfId="1" applyFont="1" applyAlignment="1">
      <alignment horizontal="center"/>
    </xf>
    <xf numFmtId="164" fontId="23" fillId="0" borderId="0" xfId="2" applyNumberFormat="1" applyFont="1" applyFill="1" applyAlignment="1"/>
    <xf numFmtId="3" fontId="23" fillId="0" borderId="0" xfId="1" applyNumberFormat="1" applyFont="1" applyProtection="1">
      <protection locked="0"/>
    </xf>
    <xf numFmtId="0" fontId="83" fillId="0" borderId="0" xfId="1" applyFont="1" applyAlignment="1">
      <alignment horizontal="left"/>
    </xf>
    <xf numFmtId="3" fontId="23" fillId="0" borderId="0" xfId="2" applyNumberFormat="1" applyFont="1" applyAlignment="1" applyProtection="1">
      <protection locked="0"/>
    </xf>
    <xf numFmtId="3" fontId="23" fillId="8" borderId="0" xfId="20" applyNumberFormat="1" applyFont="1" applyFill="1" applyProtection="1">
      <protection locked="0"/>
    </xf>
    <xf numFmtId="0" fontId="83" fillId="0" borderId="0" xfId="1" applyFont="1"/>
    <xf numFmtId="3" fontId="23" fillId="8" borderId="0" xfId="1" applyNumberFormat="1" applyFont="1" applyFill="1"/>
    <xf numFmtId="3" fontId="153" fillId="11" borderId="0" xfId="1" applyNumberFormat="1" applyFont="1" applyFill="1"/>
    <xf numFmtId="3" fontId="23" fillId="0" borderId="0" xfId="2" applyNumberFormat="1" applyFont="1" applyAlignment="1" applyProtection="1"/>
    <xf numFmtId="3" fontId="23" fillId="0" borderId="0" xfId="1" applyNumberFormat="1" applyFont="1"/>
    <xf numFmtId="0" fontId="23" fillId="9" borderId="0" xfId="1" applyFont="1" applyFill="1"/>
    <xf numFmtId="0" fontId="23" fillId="0" borderId="0" xfId="1" applyFont="1" applyAlignment="1">
      <alignment horizontal="left" wrapText="1"/>
    </xf>
    <xf numFmtId="3" fontId="23" fillId="11" borderId="0" xfId="1" applyNumberFormat="1" applyFont="1" applyFill="1"/>
    <xf numFmtId="0" fontId="23" fillId="0" borderId="0" xfId="1" applyFont="1" applyAlignment="1">
      <alignment horizontal="center" vertical="top"/>
    </xf>
    <xf numFmtId="3" fontId="23" fillId="8" borderId="0" xfId="1" applyNumberFormat="1" applyFont="1" applyFill="1" applyProtection="1">
      <protection locked="0"/>
    </xf>
    <xf numFmtId="3" fontId="153" fillId="0" borderId="0" xfId="1" applyNumberFormat="1" applyFont="1"/>
    <xf numFmtId="0" fontId="23" fillId="0" borderId="0" xfId="20" applyFont="1" applyAlignment="1">
      <alignment horizontal="center" wrapText="1"/>
    </xf>
    <xf numFmtId="3" fontId="23" fillId="0" borderId="0" xfId="2" applyNumberFormat="1" applyFont="1" applyFill="1" applyBorder="1" applyAlignment="1"/>
    <xf numFmtId="3" fontId="23" fillId="0" borderId="0" xfId="2" applyNumberFormat="1" applyFont="1" applyFill="1" applyAlignment="1"/>
    <xf numFmtId="3" fontId="23" fillId="0" borderId="22" xfId="1" applyNumberFormat="1" applyFont="1" applyBorder="1"/>
    <xf numFmtId="0" fontId="161" fillId="0" borderId="0" xfId="1" applyFont="1"/>
    <xf numFmtId="0" fontId="23" fillId="0" borderId="0" xfId="1" applyFont="1" applyAlignment="1">
      <alignment vertical="center" wrapText="1"/>
    </xf>
    <xf numFmtId="3" fontId="23" fillId="0" borderId="0" xfId="2" applyNumberFormat="1" applyFont="1" applyFill="1" applyAlignment="1">
      <alignment vertical="center" wrapText="1"/>
    </xf>
    <xf numFmtId="164" fontId="23" fillId="0" borderId="0" xfId="1" applyNumberFormat="1" applyFont="1"/>
    <xf numFmtId="43" fontId="23" fillId="0" borderId="0" xfId="2" applyFont="1"/>
    <xf numFmtId="0" fontId="23" fillId="0" borderId="0" xfId="1" applyFont="1" applyAlignment="1">
      <alignment horizontal="right"/>
    </xf>
    <xf numFmtId="0" fontId="167" fillId="0" borderId="0" xfId="1" applyFont="1" applyAlignment="1">
      <alignment horizontal="center"/>
    </xf>
    <xf numFmtId="0" fontId="162" fillId="0" borderId="0" xfId="1" applyFont="1"/>
    <xf numFmtId="0" fontId="168" fillId="0" borderId="0" xfId="1" applyFont="1" applyAlignment="1">
      <alignment horizontal="center"/>
    </xf>
    <xf numFmtId="3" fontId="23" fillId="0" borderId="0" xfId="1" applyNumberFormat="1" applyFont="1" applyAlignment="1">
      <alignment horizontal="right" wrapText="1"/>
    </xf>
    <xf numFmtId="3" fontId="23" fillId="0" borderId="0" xfId="9" applyNumberFormat="1" applyFont="1" applyFill="1" applyBorder="1" applyAlignment="1">
      <alignment horizontal="center" wrapText="1"/>
    </xf>
    <xf numFmtId="0" fontId="23" fillId="11" borderId="0" xfId="1" applyFont="1" applyFill="1" applyAlignment="1">
      <alignment horizontal="left" vertical="center" wrapText="1"/>
    </xf>
    <xf numFmtId="3" fontId="23" fillId="8" borderId="0" xfId="1" applyNumberFormat="1" applyFont="1" applyFill="1" applyAlignment="1">
      <alignment horizontal="right"/>
    </xf>
    <xf numFmtId="3" fontId="23" fillId="0" borderId="0" xfId="1" applyNumberFormat="1" applyFont="1" applyAlignment="1">
      <alignment horizontal="center"/>
    </xf>
    <xf numFmtId="3" fontId="23" fillId="0" borderId="0" xfId="1" applyNumberFormat="1" applyFont="1" applyAlignment="1">
      <alignment horizontal="right"/>
    </xf>
    <xf numFmtId="3" fontId="23" fillId="8" borderId="4" xfId="1" applyNumberFormat="1" applyFont="1" applyFill="1" applyBorder="1" applyAlignment="1">
      <alignment horizontal="right" wrapText="1"/>
    </xf>
    <xf numFmtId="3" fontId="23" fillId="0" borderId="4" xfId="1" applyNumberFormat="1" applyFont="1" applyBorder="1" applyAlignment="1">
      <alignment horizontal="center"/>
    </xf>
    <xf numFmtId="3" fontId="23" fillId="0" borderId="4" xfId="1" applyNumberFormat="1" applyFont="1" applyBorder="1" applyAlignment="1">
      <alignment horizontal="right"/>
    </xf>
    <xf numFmtId="3" fontId="168" fillId="0" borderId="0" xfId="1" applyNumberFormat="1" applyFont="1" applyAlignment="1">
      <alignment horizontal="center"/>
    </xf>
    <xf numFmtId="3" fontId="162" fillId="0" borderId="0" xfId="1" applyNumberFormat="1" applyFont="1" applyAlignment="1">
      <alignment horizontal="center"/>
    </xf>
    <xf numFmtId="3" fontId="162" fillId="0" borderId="0" xfId="1" applyNumberFormat="1" applyFont="1" applyAlignment="1">
      <alignment horizontal="right"/>
    </xf>
    <xf numFmtId="0" fontId="23" fillId="11" borderId="0" xfId="1" applyFont="1" applyFill="1"/>
    <xf numFmtId="3" fontId="23" fillId="11" borderId="4" xfId="1" applyNumberFormat="1" applyFont="1" applyFill="1" applyBorder="1" applyAlignment="1">
      <alignment horizontal="right" wrapText="1"/>
    </xf>
    <xf numFmtId="3" fontId="23" fillId="0" borderId="4" xfId="9" applyNumberFormat="1" applyFont="1" applyFill="1" applyBorder="1" applyAlignment="1">
      <alignment horizontal="center" wrapText="1"/>
    </xf>
    <xf numFmtId="3" fontId="23" fillId="0" borderId="4" xfId="1" applyNumberFormat="1" applyFont="1" applyBorder="1"/>
    <xf numFmtId="37" fontId="23" fillId="0" borderId="0" xfId="1" applyNumberFormat="1" applyFont="1" applyAlignment="1">
      <alignment horizontal="right" wrapText="1"/>
    </xf>
    <xf numFmtId="170" fontId="23" fillId="0" borderId="0" xfId="9" applyNumberFormat="1" applyFont="1" applyAlignment="1">
      <alignment horizontal="center"/>
    </xf>
    <xf numFmtId="0" fontId="23" fillId="0" borderId="0" xfId="1" applyFont="1" applyAlignment="1">
      <alignment horizontal="right" wrapText="1"/>
    </xf>
    <xf numFmtId="164" fontId="23" fillId="0" borderId="0" xfId="2" applyNumberFormat="1" applyFont="1" applyAlignment="1">
      <alignment horizontal="left" wrapText="1"/>
    </xf>
    <xf numFmtId="37" fontId="23" fillId="11" borderId="4" xfId="1" applyNumberFormat="1" applyFont="1" applyFill="1" applyBorder="1" applyAlignment="1">
      <alignment horizontal="right" wrapText="1"/>
    </xf>
    <xf numFmtId="0" fontId="23" fillId="0" borderId="4" xfId="1" applyFont="1" applyBorder="1"/>
    <xf numFmtId="170" fontId="23" fillId="0" borderId="0" xfId="9" applyNumberFormat="1" applyFont="1" applyFill="1" applyAlignment="1">
      <alignment horizontal="center" wrapText="1"/>
    </xf>
    <xf numFmtId="171" fontId="23" fillId="0" borderId="0" xfId="1" applyNumberFormat="1" applyFont="1" applyAlignment="1">
      <alignment horizontal="center" wrapText="1"/>
    </xf>
    <xf numFmtId="37" fontId="23" fillId="0" borderId="5" xfId="1" applyNumberFormat="1" applyFont="1" applyBorder="1" applyAlignment="1" applyProtection="1">
      <alignment horizontal="right" wrapText="1"/>
      <protection locked="0"/>
    </xf>
    <xf numFmtId="0" fontId="23" fillId="0" borderId="5" xfId="1" applyFont="1" applyBorder="1"/>
    <xf numFmtId="37" fontId="23" fillId="0" borderId="0" xfId="1" applyNumberFormat="1" applyFont="1" applyAlignment="1" applyProtection="1">
      <alignment horizontal="right" wrapText="1"/>
      <protection locked="0"/>
    </xf>
    <xf numFmtId="37" fontId="23" fillId="11" borderId="0" xfId="1" applyNumberFormat="1" applyFont="1" applyFill="1"/>
    <xf numFmtId="3" fontId="23" fillId="8" borderId="0" xfId="1" applyNumberFormat="1" applyFont="1" applyFill="1" applyAlignment="1">
      <alignment horizontal="right" wrapText="1"/>
    </xf>
    <xf numFmtId="3" fontId="23" fillId="0" borderId="22" xfId="1" applyNumberFormat="1" applyFont="1" applyBorder="1" applyAlignment="1">
      <alignment horizontal="right" wrapText="1"/>
    </xf>
    <xf numFmtId="3" fontId="23" fillId="7" borderId="0" xfId="1" applyNumberFormat="1" applyFont="1" applyFill="1" applyAlignment="1">
      <alignment horizontal="right"/>
    </xf>
    <xf numFmtId="3" fontId="23" fillId="0" borderId="0" xfId="2" applyNumberFormat="1" applyFont="1" applyFill="1" applyAlignment="1">
      <alignment horizontal="right" wrapText="1"/>
    </xf>
    <xf numFmtId="37" fontId="162" fillId="0" borderId="0" xfId="1" applyNumberFormat="1" applyFont="1"/>
    <xf numFmtId="41" fontId="23" fillId="0" borderId="0" xfId="1" applyNumberFormat="1" applyFont="1" applyAlignment="1">
      <alignment horizontal="right"/>
    </xf>
    <xf numFmtId="37" fontId="23" fillId="0" borderId="0" xfId="1" applyNumberFormat="1" applyFont="1"/>
    <xf numFmtId="3" fontId="23" fillId="0" borderId="0" xfId="2" applyNumberFormat="1" applyFont="1" applyFill="1" applyAlignment="1">
      <alignment horizontal="right"/>
    </xf>
    <xf numFmtId="164" fontId="23" fillId="0" borderId="0" xfId="2" applyNumberFormat="1" applyFont="1" applyFill="1" applyAlignment="1">
      <alignment horizontal="right"/>
    </xf>
    <xf numFmtId="0" fontId="35" fillId="0" borderId="0" xfId="346" applyFont="1"/>
    <xf numFmtId="0" fontId="169" fillId="0" borderId="0" xfId="346" applyFont="1"/>
    <xf numFmtId="0" fontId="169" fillId="0" borderId="0" xfId="346" applyFont="1" applyAlignment="1">
      <alignment horizontal="center" vertical="center" wrapText="1"/>
    </xf>
    <xf numFmtId="0" fontId="169" fillId="0" borderId="0" xfId="346" applyFont="1" applyAlignment="1">
      <alignment vertical="center"/>
    </xf>
    <xf numFmtId="0" fontId="169" fillId="0" borderId="27" xfId="346" applyFont="1" applyBorder="1" applyAlignment="1">
      <alignment horizontal="center" vertical="center"/>
    </xf>
    <xf numFmtId="0" fontId="169" fillId="0" borderId="0" xfId="346" applyFont="1" applyAlignment="1">
      <alignment horizontal="center" vertical="center"/>
    </xf>
    <xf numFmtId="0" fontId="158" fillId="0" borderId="27" xfId="346" applyFont="1" applyBorder="1" applyAlignment="1">
      <alignment horizontal="center" vertical="center"/>
    </xf>
    <xf numFmtId="0" fontId="35" fillId="0" borderId="33" xfId="346" applyFont="1" applyBorder="1" applyAlignment="1">
      <alignment horizontal="center" vertical="center" wrapText="1"/>
    </xf>
    <xf numFmtId="0" fontId="35" fillId="0" borderId="0" xfId="346" applyFont="1" applyAlignment="1">
      <alignment horizontal="center" vertical="center" wrapText="1"/>
    </xf>
    <xf numFmtId="0" fontId="157" fillId="0" borderId="33" xfId="346" applyFont="1" applyBorder="1" applyAlignment="1">
      <alignment horizontal="center" vertical="center" wrapText="1"/>
    </xf>
    <xf numFmtId="0" fontId="157" fillId="0" borderId="0" xfId="346" applyFont="1"/>
    <xf numFmtId="0" fontId="35" fillId="0" borderId="0" xfId="346" applyFont="1" applyAlignment="1">
      <alignment horizontal="left" vertical="center"/>
    </xf>
    <xf numFmtId="15" fontId="35" fillId="0" borderId="0" xfId="346" applyNumberFormat="1" applyFont="1" applyAlignment="1">
      <alignment vertical="center" wrapText="1"/>
    </xf>
    <xf numFmtId="164" fontId="35" fillId="0" borderId="0" xfId="34" applyNumberFormat="1" applyFont="1" applyAlignment="1">
      <alignment horizontal="right" vertical="center" wrapText="1"/>
    </xf>
    <xf numFmtId="3" fontId="35" fillId="0" borderId="0" xfId="34" applyNumberFormat="1" applyFont="1" applyAlignment="1">
      <alignment vertical="center" wrapText="1"/>
    </xf>
    <xf numFmtId="3" fontId="35" fillId="11" borderId="0" xfId="34" applyNumberFormat="1" applyFont="1" applyFill="1" applyAlignment="1">
      <alignment vertical="center" wrapText="1"/>
    </xf>
    <xf numFmtId="3" fontId="35" fillId="0" borderId="0" xfId="34" applyNumberFormat="1" applyFont="1" applyAlignment="1">
      <alignment horizontal="left" vertical="center" wrapText="1"/>
    </xf>
    <xf numFmtId="3" fontId="35" fillId="0" borderId="0" xfId="346" applyNumberFormat="1" applyFont="1" applyAlignment="1">
      <alignment horizontal="left" vertical="center"/>
    </xf>
    <xf numFmtId="3" fontId="157" fillId="0" borderId="0" xfId="34" applyNumberFormat="1" applyFont="1" applyAlignment="1">
      <alignment vertical="center" wrapText="1"/>
    </xf>
    <xf numFmtId="3" fontId="157" fillId="0" borderId="0" xfId="34" applyNumberFormat="1" applyFont="1" applyFill="1" applyAlignment="1">
      <alignment vertical="center" wrapText="1"/>
    </xf>
    <xf numFmtId="164" fontId="35" fillId="0" borderId="0" xfId="34" applyNumberFormat="1" applyFont="1" applyAlignment="1">
      <alignment vertical="center" wrapText="1"/>
    </xf>
    <xf numFmtId="3" fontId="157" fillId="0" borderId="0" xfId="200" applyNumberFormat="1" applyFont="1" applyFill="1" applyAlignment="1">
      <alignment vertical="center" wrapText="1"/>
    </xf>
    <xf numFmtId="164" fontId="35" fillId="0" borderId="0" xfId="34" applyNumberFormat="1" applyFont="1" applyFill="1" applyAlignment="1">
      <alignment vertical="center" wrapText="1"/>
    </xf>
    <xf numFmtId="0" fontId="35" fillId="0" borderId="3" xfId="346" applyFont="1" applyBorder="1" applyAlignment="1">
      <alignment vertical="center" wrapText="1"/>
    </xf>
    <xf numFmtId="164" fontId="35" fillId="0" borderId="3" xfId="346" applyNumberFormat="1" applyFont="1" applyBorder="1" applyAlignment="1">
      <alignment vertical="center" wrapText="1"/>
    </xf>
    <xf numFmtId="0" fontId="35" fillId="0" borderId="3" xfId="346" applyFont="1" applyBorder="1" applyAlignment="1">
      <alignment horizontal="right" vertical="center" wrapText="1"/>
    </xf>
    <xf numFmtId="3" fontId="35" fillId="0" borderId="3" xfId="34" applyNumberFormat="1" applyFont="1" applyBorder="1" applyAlignment="1">
      <alignment vertical="center" wrapText="1"/>
    </xf>
    <xf numFmtId="3" fontId="35" fillId="0" borderId="3" xfId="346" applyNumberFormat="1" applyFont="1" applyBorder="1" applyAlignment="1">
      <alignment horizontal="right" vertical="center" wrapText="1"/>
    </xf>
    <xf numFmtId="3" fontId="35" fillId="0" borderId="3" xfId="34" applyNumberFormat="1" applyFont="1" applyFill="1" applyBorder="1" applyAlignment="1">
      <alignment vertical="center" wrapText="1"/>
    </xf>
    <xf numFmtId="3" fontId="157" fillId="0" borderId="3" xfId="346" applyNumberFormat="1" applyFont="1" applyBorder="1"/>
    <xf numFmtId="0" fontId="35" fillId="0" borderId="0" xfId="346" applyFont="1" applyAlignment="1">
      <alignment vertical="center" wrapText="1"/>
    </xf>
    <xf numFmtId="0" fontId="35" fillId="0" borderId="0" xfId="346" applyFont="1" applyAlignment="1">
      <alignment horizontal="right" vertical="center" wrapText="1"/>
    </xf>
    <xf numFmtId="0" fontId="35" fillId="0" borderId="0" xfId="346" applyFont="1" applyAlignment="1">
      <alignment horizontal="justify" vertical="center" wrapText="1"/>
    </xf>
    <xf numFmtId="170" fontId="23" fillId="0" borderId="0" xfId="9" applyNumberFormat="1" applyFont="1" applyFill="1"/>
    <xf numFmtId="0" fontId="162" fillId="0" borderId="0" xfId="0" applyFont="1" applyAlignment="1">
      <alignment horizontal="center"/>
    </xf>
    <xf numFmtId="0" fontId="23" fillId="0" borderId="0" xfId="0" applyFont="1" applyAlignment="1">
      <alignment horizontal="right"/>
    </xf>
    <xf numFmtId="0" fontId="163" fillId="0" borderId="0" xfId="0" applyFont="1"/>
    <xf numFmtId="37" fontId="23" fillId="0" borderId="0" xfId="0" applyNumberFormat="1" applyFont="1"/>
    <xf numFmtId="37" fontId="83" fillId="0" borderId="0" xfId="0" applyNumberFormat="1" applyFont="1"/>
    <xf numFmtId="0" fontId="162" fillId="0" borderId="0" xfId="0" applyFont="1"/>
    <xf numFmtId="0" fontId="162" fillId="0" borderId="0" xfId="0" applyFont="1" applyAlignment="1">
      <alignment horizontal="left"/>
    </xf>
    <xf numFmtId="0" fontId="162" fillId="0" borderId="2" xfId="0" applyFont="1" applyBorder="1" applyAlignment="1">
      <alignment horizontal="center"/>
    </xf>
    <xf numFmtId="0" fontId="23" fillId="8" borderId="28" xfId="20" applyFont="1" applyFill="1" applyBorder="1" applyAlignment="1">
      <alignment wrapText="1"/>
    </xf>
    <xf numFmtId="3" fontId="23" fillId="8" borderId="56" xfId="20" applyNumberFormat="1" applyFont="1" applyFill="1" applyBorder="1"/>
    <xf numFmtId="3" fontId="23" fillId="8" borderId="26" xfId="2" applyNumberFormat="1" applyFont="1" applyFill="1" applyBorder="1"/>
    <xf numFmtId="3" fontId="23" fillId="0" borderId="64" xfId="2" applyNumberFormat="1" applyFont="1" applyFill="1" applyBorder="1"/>
    <xf numFmtId="164" fontId="23" fillId="11" borderId="25" xfId="3" applyNumberFormat="1" applyFont="1" applyFill="1" applyBorder="1" applyAlignment="1">
      <alignment wrapText="1"/>
    </xf>
    <xf numFmtId="0" fontId="23" fillId="8" borderId="19" xfId="20" applyFont="1" applyFill="1" applyBorder="1" applyAlignment="1">
      <alignment wrapText="1"/>
    </xf>
    <xf numFmtId="3" fontId="23" fillId="8" borderId="57" xfId="20" applyNumberFormat="1" applyFont="1" applyFill="1" applyBorder="1"/>
    <xf numFmtId="3" fontId="23" fillId="8" borderId="13" xfId="2" applyNumberFormat="1" applyFont="1" applyFill="1" applyBorder="1"/>
    <xf numFmtId="3" fontId="23" fillId="0" borderId="63" xfId="2" applyNumberFormat="1" applyFont="1" applyFill="1" applyBorder="1"/>
    <xf numFmtId="0" fontId="23" fillId="0" borderId="19" xfId="20" applyFont="1" applyBorder="1" applyAlignment="1">
      <alignment wrapText="1"/>
    </xf>
    <xf numFmtId="164" fontId="23" fillId="0" borderId="25" xfId="3" applyNumberFormat="1" applyFont="1" applyFill="1" applyBorder="1" applyAlignment="1">
      <alignment wrapText="1"/>
    </xf>
    <xf numFmtId="164" fontId="23" fillId="8" borderId="25" xfId="3" applyNumberFormat="1" applyFont="1" applyFill="1" applyBorder="1" applyAlignment="1">
      <alignment wrapText="1"/>
    </xf>
    <xf numFmtId="0" fontId="83" fillId="0" borderId="18" xfId="20" applyFont="1" applyBorder="1"/>
    <xf numFmtId="3" fontId="83" fillId="0" borderId="33" xfId="20" applyNumberFormat="1" applyFont="1" applyBorder="1"/>
    <xf numFmtId="37" fontId="23" fillId="0" borderId="34" xfId="0" applyNumberFormat="1" applyFont="1" applyBorder="1" applyAlignment="1">
      <alignment wrapText="1"/>
    </xf>
    <xf numFmtId="0" fontId="83" fillId="0" borderId="19" xfId="20" applyFont="1" applyBorder="1" applyAlignment="1">
      <alignment wrapText="1"/>
    </xf>
    <xf numFmtId="3" fontId="23" fillId="0" borderId="13" xfId="20" applyNumberFormat="1" applyFont="1" applyBorder="1"/>
    <xf numFmtId="3" fontId="23" fillId="0" borderId="33" xfId="20" applyNumberFormat="1" applyFont="1" applyBorder="1"/>
    <xf numFmtId="3" fontId="23" fillId="0" borderId="13" xfId="20" applyNumberFormat="1" applyFont="1" applyBorder="1" applyAlignment="1">
      <alignment horizontal="right"/>
    </xf>
    <xf numFmtId="0" fontId="23" fillId="0" borderId="25" xfId="0" applyFont="1" applyBorder="1" applyAlignment="1">
      <alignment wrapText="1"/>
    </xf>
    <xf numFmtId="0" fontId="83" fillId="0" borderId="58" xfId="0" applyFont="1" applyBorder="1"/>
    <xf numFmtId="3" fontId="83" fillId="0" borderId="30" xfId="20" applyNumberFormat="1" applyFont="1" applyBorder="1"/>
    <xf numFmtId="0" fontId="83" fillId="0" borderId="59" xfId="0" applyFont="1" applyBorder="1" applyAlignment="1">
      <alignment wrapText="1"/>
    </xf>
    <xf numFmtId="1" fontId="83" fillId="0" borderId="0" xfId="20" applyNumberFormat="1" applyFont="1"/>
    <xf numFmtId="37" fontId="83" fillId="0" borderId="0" xfId="20" applyNumberFormat="1" applyFont="1"/>
    <xf numFmtId="37" fontId="23" fillId="0" borderId="0" xfId="0" applyNumberFormat="1" applyFont="1" applyAlignment="1">
      <alignment horizontal="center"/>
    </xf>
    <xf numFmtId="37" fontId="23" fillId="0" borderId="0" xfId="0" applyNumberFormat="1" applyFont="1" applyAlignment="1">
      <alignment wrapText="1"/>
    </xf>
    <xf numFmtId="41" fontId="23" fillId="0" borderId="0" xfId="0" applyNumberFormat="1" applyFont="1" applyAlignment="1">
      <alignment horizontal="center"/>
    </xf>
    <xf numFmtId="3" fontId="23" fillId="8" borderId="26" xfId="3" applyNumberFormat="1" applyFont="1" applyFill="1" applyBorder="1"/>
    <xf numFmtId="3" fontId="23" fillId="11" borderId="26" xfId="2" applyNumberFormat="1" applyFont="1" applyFill="1" applyBorder="1"/>
    <xf numFmtId="3" fontId="23" fillId="0" borderId="65" xfId="2" applyNumberFormat="1" applyFont="1" applyFill="1" applyBorder="1"/>
    <xf numFmtId="0" fontId="23" fillId="0" borderId="25" xfId="3" applyNumberFormat="1" applyFont="1" applyFill="1" applyBorder="1" applyAlignment="1">
      <alignment wrapText="1"/>
    </xf>
    <xf numFmtId="3" fontId="23" fillId="11" borderId="13" xfId="2" applyNumberFormat="1" applyFont="1" applyFill="1" applyBorder="1"/>
    <xf numFmtId="0" fontId="23" fillId="8" borderId="25" xfId="3" applyNumberFormat="1" applyFont="1" applyFill="1" applyBorder="1" applyAlignment="1">
      <alignment wrapText="1"/>
    </xf>
    <xf numFmtId="0" fontId="83" fillId="0" borderId="0" xfId="0" applyFont="1" applyAlignment="1">
      <alignment horizontal="left"/>
    </xf>
    <xf numFmtId="0" fontId="83" fillId="0" borderId="0" xfId="0" applyFont="1" applyAlignment="1">
      <alignment horizontal="centerContinuous"/>
    </xf>
    <xf numFmtId="0" fontId="83" fillId="0" borderId="0" xfId="0" applyFont="1" applyAlignment="1">
      <alignment horizontal="right"/>
    </xf>
    <xf numFmtId="41" fontId="83" fillId="0" borderId="0" xfId="0" applyNumberFormat="1" applyFont="1" applyAlignment="1">
      <alignment horizontal="center" wrapText="1"/>
    </xf>
    <xf numFmtId="164" fontId="23" fillId="11" borderId="29" xfId="2" applyNumberFormat="1" applyFont="1" applyFill="1" applyBorder="1" applyAlignment="1">
      <alignment wrapText="1"/>
    </xf>
    <xf numFmtId="164" fontId="23" fillId="11" borderId="25" xfId="2" applyNumberFormat="1" applyFont="1" applyFill="1" applyBorder="1" applyAlignment="1">
      <alignment wrapText="1"/>
    </xf>
    <xf numFmtId="164" fontId="23" fillId="0" borderId="25" xfId="2" applyNumberFormat="1" applyFont="1" applyFill="1" applyBorder="1" applyAlignment="1">
      <alignment wrapText="1"/>
    </xf>
    <xf numFmtId="0" fontId="83" fillId="0" borderId="23" xfId="0" applyFont="1" applyBorder="1"/>
    <xf numFmtId="3" fontId="83" fillId="0" borderId="26" xfId="20" applyNumberFormat="1" applyFont="1" applyBorder="1"/>
    <xf numFmtId="0" fontId="23" fillId="0" borderId="29" xfId="0" applyFont="1" applyBorder="1" applyAlignment="1">
      <alignment wrapText="1"/>
    </xf>
    <xf numFmtId="0" fontId="83" fillId="0" borderId="17" xfId="0" applyFont="1" applyBorder="1" applyAlignment="1">
      <alignment wrapText="1"/>
    </xf>
    <xf numFmtId="3" fontId="23" fillId="0" borderId="63" xfId="20" applyNumberFormat="1" applyFont="1" applyBorder="1"/>
    <xf numFmtId="0" fontId="83" fillId="0" borderId="60" xfId="0" applyFont="1" applyBorder="1" applyAlignment="1">
      <alignment wrapText="1"/>
    </xf>
    <xf numFmtId="3" fontId="23" fillId="0" borderId="27" xfId="20" applyNumberFormat="1" applyFont="1" applyBorder="1"/>
    <xf numFmtId="3" fontId="23" fillId="0" borderId="61" xfId="20" applyNumberFormat="1" applyFont="1" applyBorder="1"/>
    <xf numFmtId="0" fontId="23" fillId="0" borderId="32" xfId="0" applyFont="1" applyBorder="1" applyAlignment="1">
      <alignment wrapText="1"/>
    </xf>
    <xf numFmtId="164" fontId="23" fillId="0" borderId="0" xfId="0" applyNumberFormat="1" applyFont="1" applyAlignment="1">
      <alignment wrapText="1"/>
    </xf>
    <xf numFmtId="41" fontId="83" fillId="0" borderId="0" xfId="0" applyNumberFormat="1" applyFont="1" applyAlignment="1">
      <alignment horizontal="center"/>
    </xf>
    <xf numFmtId="0" fontId="162" fillId="0" borderId="4" xfId="0" applyFont="1" applyBorder="1"/>
    <xf numFmtId="37" fontId="23" fillId="0" borderId="4" xfId="0" applyNumberFormat="1" applyFont="1" applyBorder="1"/>
    <xf numFmtId="41" fontId="23" fillId="68" borderId="0" xfId="0" applyNumberFormat="1" applyFont="1" applyFill="1"/>
    <xf numFmtId="3" fontId="83" fillId="8" borderId="56" xfId="20" applyNumberFormat="1" applyFont="1" applyFill="1" applyBorder="1"/>
    <xf numFmtId="3" fontId="83" fillId="8" borderId="57" xfId="20" applyNumberFormat="1" applyFont="1" applyFill="1" applyBorder="1"/>
    <xf numFmtId="3" fontId="83" fillId="11" borderId="57" xfId="20" applyNumberFormat="1" applyFont="1" applyFill="1" applyBorder="1"/>
    <xf numFmtId="0" fontId="83" fillId="0" borderId="19" xfId="20" applyFont="1" applyBorder="1"/>
    <xf numFmtId="0" fontId="23" fillId="0" borderId="28" xfId="20" applyFont="1" applyBorder="1"/>
    <xf numFmtId="0" fontId="23" fillId="0" borderId="29" xfId="20" applyFont="1" applyBorder="1" applyAlignment="1">
      <alignment wrapText="1"/>
    </xf>
    <xf numFmtId="0" fontId="23" fillId="11" borderId="25" xfId="3" applyNumberFormat="1" applyFont="1" applyFill="1" applyBorder="1" applyAlignment="1">
      <alignment wrapText="1"/>
    </xf>
    <xf numFmtId="37" fontId="83" fillId="0" borderId="0" xfId="0" applyNumberFormat="1" applyFont="1" applyAlignment="1">
      <alignment horizontal="center"/>
    </xf>
    <xf numFmtId="0" fontId="23" fillId="11" borderId="19" xfId="20" applyFont="1" applyFill="1" applyBorder="1" applyAlignment="1">
      <alignment wrapText="1"/>
    </xf>
    <xf numFmtId="0" fontId="83" fillId="0" borderId="17" xfId="0" applyFont="1" applyBorder="1"/>
    <xf numFmtId="0" fontId="83" fillId="0" borderId="60" xfId="0" applyFont="1" applyBorder="1"/>
    <xf numFmtId="0" fontId="23" fillId="0" borderId="0" xfId="301" applyFont="1" applyAlignment="1">
      <alignment horizontal="center"/>
    </xf>
    <xf numFmtId="0" fontId="83" fillId="0" borderId="0" xfId="301" applyFont="1" applyAlignment="1">
      <alignment horizontal="center"/>
    </xf>
    <xf numFmtId="0" fontId="23" fillId="11" borderId="0" xfId="301" applyFont="1" applyFill="1" applyAlignment="1">
      <alignment horizontal="left"/>
    </xf>
    <xf numFmtId="0" fontId="23" fillId="0" borderId="0" xfId="301" applyFont="1"/>
    <xf numFmtId="0" fontId="23" fillId="0" borderId="0" xfId="301" applyFont="1" applyAlignment="1">
      <alignment horizontal="left"/>
    </xf>
    <xf numFmtId="0" fontId="23" fillId="0" borderId="4" xfId="301" applyFont="1" applyBorder="1" applyAlignment="1">
      <alignment horizontal="center" vertical="top" wrapText="1"/>
    </xf>
    <xf numFmtId="0" fontId="35" fillId="0" borderId="0" xfId="559" applyFont="1" applyAlignment="1">
      <alignment horizontal="left" vertical="center" wrapText="1"/>
    </xf>
    <xf numFmtId="0" fontId="23" fillId="11" borderId="0" xfId="2" applyNumberFormat="1" applyFont="1" applyFill="1" applyAlignment="1">
      <alignment horizontal="center"/>
    </xf>
    <xf numFmtId="0" fontId="23" fillId="0" borderId="0" xfId="2" applyNumberFormat="1" applyFont="1" applyFill="1" applyAlignment="1">
      <alignment horizontal="center"/>
    </xf>
    <xf numFmtId="3" fontId="23" fillId="0" borderId="0" xfId="301" applyNumberFormat="1" applyFont="1"/>
    <xf numFmtId="1" fontId="23" fillId="0" borderId="0" xfId="2" applyNumberFormat="1" applyFont="1"/>
    <xf numFmtId="164" fontId="35" fillId="11" borderId="0" xfId="34" applyNumberFormat="1" applyFont="1" applyFill="1" applyAlignment="1">
      <alignment vertical="center" wrapText="1"/>
    </xf>
    <xf numFmtId="3" fontId="153" fillId="0" borderId="0" xfId="2" applyNumberFormat="1" applyFont="1"/>
    <xf numFmtId="3" fontId="153" fillId="11" borderId="0" xfId="2" applyNumberFormat="1" applyFont="1" applyFill="1"/>
    <xf numFmtId="3" fontId="153" fillId="0" borderId="0" xfId="301" applyNumberFormat="1" applyFont="1"/>
    <xf numFmtId="1" fontId="154" fillId="0" borderId="0" xfId="2" applyNumberFormat="1" applyFont="1"/>
    <xf numFmtId="0" fontId="23" fillId="0" borderId="0" xfId="301" applyFont="1" applyAlignment="1">
      <alignment horizontal="left" wrapText="1"/>
    </xf>
    <xf numFmtId="164" fontId="23" fillId="0" borderId="0" xfId="301" applyNumberFormat="1" applyFont="1"/>
    <xf numFmtId="37" fontId="161" fillId="0" borderId="0" xfId="0" applyNumberFormat="1" applyFont="1"/>
    <xf numFmtId="37" fontId="23" fillId="0" borderId="0" xfId="0" applyNumberFormat="1" applyFont="1" applyAlignment="1">
      <alignment horizontal="left"/>
    </xf>
    <xf numFmtId="41" fontId="23" fillId="0" borderId="0" xfId="0" applyNumberFormat="1" applyFont="1"/>
    <xf numFmtId="3" fontId="23" fillId="11" borderId="57" xfId="20" applyNumberFormat="1" applyFont="1" applyFill="1" applyBorder="1"/>
    <xf numFmtId="3" fontId="23" fillId="11" borderId="26" xfId="3" applyNumberFormat="1" applyFont="1" applyFill="1" applyBorder="1"/>
    <xf numFmtId="164" fontId="23" fillId="0" borderId="0" xfId="0" applyNumberFormat="1" applyFont="1"/>
    <xf numFmtId="0" fontId="83" fillId="0" borderId="2" xfId="0" applyFont="1" applyBorder="1" applyAlignment="1">
      <alignment horizontal="center"/>
    </xf>
    <xf numFmtId="3" fontId="23" fillId="0" borderId="26" xfId="2" applyNumberFormat="1" applyFont="1" applyFill="1" applyBorder="1"/>
    <xf numFmtId="3" fontId="23" fillId="0" borderId="13" xfId="2" applyNumberFormat="1" applyFont="1" applyFill="1" applyBorder="1"/>
    <xf numFmtId="0" fontId="170" fillId="0" borderId="0" xfId="20" applyFont="1"/>
    <xf numFmtId="0" fontId="83" fillId="6" borderId="7" xfId="20" applyFont="1" applyFill="1" applyBorder="1" applyAlignment="1">
      <alignment horizontal="left"/>
    </xf>
    <xf numFmtId="0" fontId="23" fillId="6" borderId="8" xfId="20" applyFont="1" applyFill="1" applyBorder="1"/>
    <xf numFmtId="0" fontId="83" fillId="6" borderId="16" xfId="20" applyFont="1" applyFill="1" applyBorder="1" applyAlignment="1">
      <alignment horizontal="left"/>
    </xf>
    <xf numFmtId="0" fontId="23" fillId="6" borderId="0" xfId="20" applyFont="1" applyFill="1"/>
    <xf numFmtId="0" fontId="23" fillId="6" borderId="0" xfId="20" applyFont="1" applyFill="1" applyAlignment="1">
      <alignment horizontal="center"/>
    </xf>
    <xf numFmtId="0" fontId="23" fillId="6" borderId="15" xfId="20" applyFont="1" applyFill="1" applyBorder="1" applyAlignment="1">
      <alignment horizontal="center"/>
    </xf>
    <xf numFmtId="0" fontId="83" fillId="11" borderId="31" xfId="20" applyFont="1" applyFill="1" applyBorder="1" applyAlignment="1">
      <alignment horizontal="center"/>
    </xf>
    <xf numFmtId="0" fontId="83" fillId="6" borderId="6" xfId="20" applyFont="1" applyFill="1" applyBorder="1" applyAlignment="1">
      <alignment horizontal="left"/>
    </xf>
    <xf numFmtId="0" fontId="83" fillId="6" borderId="2" xfId="20" applyFont="1" applyFill="1" applyBorder="1"/>
    <xf numFmtId="0" fontId="83" fillId="6" borderId="2" xfId="20" applyFont="1" applyFill="1" applyBorder="1" applyAlignment="1">
      <alignment horizontal="center"/>
    </xf>
    <xf numFmtId="0" fontId="83" fillId="6" borderId="9" xfId="20" applyFont="1" applyFill="1" applyBorder="1" applyAlignment="1">
      <alignment horizontal="center" wrapText="1"/>
    </xf>
    <xf numFmtId="0" fontId="83" fillId="11" borderId="21" xfId="20" applyFont="1" applyFill="1" applyBorder="1" applyAlignment="1">
      <alignment horizontal="center" wrapText="1"/>
    </xf>
    <xf numFmtId="0" fontId="171" fillId="5" borderId="0" xfId="20" applyFont="1" applyFill="1" applyAlignment="1">
      <alignment horizontal="left"/>
    </xf>
    <xf numFmtId="0" fontId="171" fillId="5" borderId="0" xfId="20" applyFont="1" applyFill="1"/>
    <xf numFmtId="0" fontId="23" fillId="5" borderId="0" xfId="20" applyFont="1" applyFill="1"/>
    <xf numFmtId="0" fontId="83" fillId="5" borderId="0" xfId="20" applyFont="1" applyFill="1" applyAlignment="1">
      <alignment horizontal="center"/>
    </xf>
    <xf numFmtId="0" fontId="23" fillId="5" borderId="0" xfId="20" applyFont="1" applyFill="1" applyAlignment="1">
      <alignment horizontal="center" wrapText="1"/>
    </xf>
    <xf numFmtId="0" fontId="83" fillId="0" borderId="0" xfId="20" applyFont="1" applyAlignment="1">
      <alignment horizontal="right" wrapText="1"/>
    </xf>
    <xf numFmtId="0" fontId="172" fillId="0" borderId="0" xfId="20" applyFont="1" applyAlignment="1">
      <alignment horizontal="left"/>
    </xf>
    <xf numFmtId="0" fontId="172" fillId="0" borderId="0" xfId="20" applyFont="1" applyAlignment="1">
      <alignment horizontal="center"/>
    </xf>
    <xf numFmtId="0" fontId="23" fillId="0" borderId="3" xfId="20" applyFont="1" applyBorder="1"/>
    <xf numFmtId="3" fontId="23" fillId="0" borderId="3" xfId="20" applyNumberFormat="1" applyFont="1" applyBorder="1"/>
    <xf numFmtId="3" fontId="23" fillId="0" borderId="3" xfId="20" applyNumberFormat="1" applyFont="1" applyBorder="1" applyAlignment="1">
      <alignment horizontal="center"/>
    </xf>
    <xf numFmtId="0" fontId="83" fillId="0" borderId="5" xfId="20" applyFont="1" applyBorder="1"/>
    <xf numFmtId="0" fontId="23" fillId="0" borderId="5" xfId="20" applyFont="1" applyBorder="1"/>
    <xf numFmtId="3" fontId="23" fillId="0" borderId="5" xfId="20" applyNumberFormat="1" applyFont="1" applyBorder="1" applyAlignment="1">
      <alignment horizontal="center"/>
    </xf>
    <xf numFmtId="3" fontId="23" fillId="0" borderId="5" xfId="20" applyNumberFormat="1" applyFont="1" applyBorder="1"/>
    <xf numFmtId="170" fontId="23" fillId="0" borderId="5" xfId="9" applyNumberFormat="1" applyFont="1" applyBorder="1" applyAlignment="1" applyProtection="1">
      <alignment horizontal="right"/>
    </xf>
    <xf numFmtId="171" fontId="83" fillId="0" borderId="0" xfId="9" applyNumberFormat="1" applyFont="1" applyAlignment="1" applyProtection="1"/>
    <xf numFmtId="0" fontId="23" fillId="0" borderId="4" xfId="20" applyFont="1" applyBorder="1"/>
    <xf numFmtId="0" fontId="172" fillId="0" borderId="4" xfId="20" applyFont="1" applyBorder="1" applyAlignment="1">
      <alignment horizontal="center"/>
    </xf>
    <xf numFmtId="3" fontId="23" fillId="0" borderId="0" xfId="9" applyNumberFormat="1" applyFont="1" applyAlignment="1" applyProtection="1">
      <alignment horizontal="right"/>
    </xf>
    <xf numFmtId="0" fontId="23" fillId="0" borderId="5" xfId="20" applyFont="1" applyBorder="1" applyAlignment="1">
      <alignment horizontal="center"/>
    </xf>
    <xf numFmtId="171" fontId="23" fillId="0" borderId="0" xfId="9" applyNumberFormat="1" applyFont="1" applyBorder="1" applyAlignment="1" applyProtection="1"/>
    <xf numFmtId="0" fontId="173" fillId="0" borderId="0" xfId="20" applyFont="1" applyAlignment="1">
      <alignment horizontal="center"/>
    </xf>
    <xf numFmtId="0" fontId="171" fillId="0" borderId="0" xfId="20" applyFont="1"/>
    <xf numFmtId="0" fontId="23" fillId="0" borderId="3" xfId="20" applyFont="1" applyBorder="1" applyAlignment="1">
      <alignment horizontal="center"/>
    </xf>
    <xf numFmtId="170" fontId="23" fillId="0" borderId="0" xfId="9" applyNumberFormat="1" applyFont="1" applyFill="1" applyAlignment="1" applyProtection="1">
      <alignment horizontal="right"/>
    </xf>
    <xf numFmtId="3" fontId="23" fillId="0" borderId="3" xfId="20" applyNumberFormat="1" applyFont="1" applyBorder="1" applyAlignment="1">
      <alignment horizontal="right"/>
    </xf>
    <xf numFmtId="0" fontId="83" fillId="0" borderId="5" xfId="20" applyFont="1" applyBorder="1" applyAlignment="1">
      <alignment horizontal="center"/>
    </xf>
    <xf numFmtId="3" fontId="83" fillId="0" borderId="5" xfId="20" applyNumberFormat="1" applyFont="1" applyBorder="1" applyAlignment="1">
      <alignment horizontal="right"/>
    </xf>
    <xf numFmtId="167" fontId="23" fillId="0" borderId="0" xfId="20" applyNumberFormat="1" applyFont="1" applyAlignment="1">
      <alignment horizontal="center"/>
    </xf>
    <xf numFmtId="170" fontId="23" fillId="0" borderId="0" xfId="9" applyNumberFormat="1" applyFont="1" applyFill="1" applyBorder="1" applyAlignment="1" applyProtection="1">
      <alignment horizontal="right"/>
    </xf>
    <xf numFmtId="0" fontId="23" fillId="0" borderId="5" xfId="20" applyFont="1" applyBorder="1" applyAlignment="1">
      <alignment horizontal="left"/>
    </xf>
    <xf numFmtId="0" fontId="83" fillId="0" borderId="5" xfId="20" applyFont="1" applyBorder="1" applyAlignment="1">
      <alignment horizontal="left"/>
    </xf>
    <xf numFmtId="0" fontId="174" fillId="0" borderId="0" xfId="20" applyFont="1" applyAlignment="1">
      <alignment horizontal="left"/>
    </xf>
    <xf numFmtId="0" fontId="174" fillId="0" borderId="0" xfId="20" applyFont="1"/>
    <xf numFmtId="3" fontId="23" fillId="79" borderId="0" xfId="20" applyNumberFormat="1" applyFont="1" applyFill="1"/>
    <xf numFmtId="0" fontId="172" fillId="0" borderId="0" xfId="20" applyFont="1"/>
    <xf numFmtId="4" fontId="172" fillId="0" borderId="0" xfId="20" applyNumberFormat="1" applyFont="1" applyAlignment="1">
      <alignment horizontal="right"/>
    </xf>
    <xf numFmtId="3" fontId="172" fillId="0" borderId="0" xfId="20" applyNumberFormat="1" applyFont="1" applyAlignment="1">
      <alignment horizontal="right"/>
    </xf>
    <xf numFmtId="0" fontId="161" fillId="0" borderId="0" xfId="20" applyFont="1" applyAlignment="1">
      <alignment horizontal="left"/>
    </xf>
    <xf numFmtId="0" fontId="23" fillId="0" borderId="4" xfId="20" applyFont="1" applyBorder="1" applyAlignment="1">
      <alignment horizontal="left"/>
    </xf>
    <xf numFmtId="0" fontId="23" fillId="0" borderId="4" xfId="20" applyFont="1" applyBorder="1" applyAlignment="1">
      <alignment horizontal="center"/>
    </xf>
    <xf numFmtId="3" fontId="172" fillId="0" borderId="4" xfId="20" applyNumberFormat="1" applyFont="1" applyBorder="1" applyAlignment="1">
      <alignment horizontal="right"/>
    </xf>
    <xf numFmtId="171" fontId="23" fillId="0" borderId="0" xfId="20" applyNumberFormat="1" applyFont="1" applyAlignment="1">
      <alignment horizontal="right"/>
    </xf>
    <xf numFmtId="0" fontId="165" fillId="0" borderId="0" xfId="20" applyFont="1" applyAlignment="1">
      <alignment horizontal="center"/>
    </xf>
    <xf numFmtId="3" fontId="23" fillId="0" borderId="4" xfId="20" applyNumberFormat="1" applyFont="1" applyBorder="1" applyAlignment="1">
      <alignment horizontal="right"/>
    </xf>
    <xf numFmtId="3" fontId="172" fillId="0" borderId="3" xfId="20" applyNumberFormat="1" applyFont="1" applyBorder="1" applyAlignment="1">
      <alignment horizontal="right"/>
    </xf>
    <xf numFmtId="170" fontId="23" fillId="0" borderId="4" xfId="9" applyNumberFormat="1" applyFont="1" applyBorder="1" applyAlignment="1" applyProtection="1">
      <alignment horizontal="right"/>
    </xf>
    <xf numFmtId="0" fontId="23" fillId="0" borderId="3" xfId="20" applyFont="1" applyBorder="1" applyAlignment="1">
      <alignment horizontal="left"/>
    </xf>
    <xf numFmtId="0" fontId="83" fillId="0" borderId="3" xfId="20" applyFont="1" applyBorder="1" applyAlignment="1">
      <alignment horizontal="center"/>
    </xf>
    <xf numFmtId="0" fontId="83" fillId="0" borderId="3" xfId="20" applyFont="1" applyBorder="1"/>
    <xf numFmtId="0" fontId="83" fillId="0" borderId="4" xfId="20" applyFont="1" applyBorder="1" applyAlignment="1">
      <alignment horizontal="center"/>
    </xf>
    <xf numFmtId="0" fontId="83" fillId="0" borderId="4" xfId="20" applyFont="1" applyBorder="1"/>
    <xf numFmtId="170" fontId="23" fillId="0" borderId="4" xfId="9" applyNumberFormat="1" applyFont="1" applyFill="1" applyBorder="1" applyAlignment="1" applyProtection="1">
      <alignment horizontal="right"/>
    </xf>
    <xf numFmtId="3" fontId="153" fillId="0" borderId="0" xfId="20" applyNumberFormat="1" applyFont="1" applyAlignment="1">
      <alignment horizontal="right"/>
    </xf>
    <xf numFmtId="0" fontId="83" fillId="0" borderId="5" xfId="20" applyFont="1" applyBorder="1" applyAlignment="1">
      <alignment wrapText="1"/>
    </xf>
    <xf numFmtId="43" fontId="83" fillId="0" borderId="5" xfId="2" applyFont="1" applyBorder="1" applyProtection="1"/>
    <xf numFmtId="3" fontId="83" fillId="0" borderId="5" xfId="2" applyNumberFormat="1" applyFont="1" applyBorder="1" applyAlignment="1" applyProtection="1">
      <alignment horizontal="right"/>
    </xf>
    <xf numFmtId="0" fontId="23" fillId="0" borderId="10" xfId="20" applyFont="1" applyBorder="1" applyAlignment="1">
      <alignment horizontal="center"/>
    </xf>
    <xf numFmtId="0" fontId="83" fillId="0" borderId="10" xfId="20" applyFont="1" applyBorder="1"/>
    <xf numFmtId="0" fontId="83" fillId="0" borderId="10" xfId="20" applyFont="1" applyBorder="1" applyAlignment="1">
      <alignment horizontal="center"/>
    </xf>
    <xf numFmtId="3" fontId="23" fillId="0" borderId="10" xfId="20" applyNumberFormat="1" applyFont="1" applyBorder="1"/>
    <xf numFmtId="3" fontId="83" fillId="0" borderId="10" xfId="20" applyNumberFormat="1" applyFont="1" applyBorder="1" applyAlignment="1">
      <alignment horizontal="right"/>
    </xf>
    <xf numFmtId="0" fontId="83" fillId="5" borderId="0" xfId="20" applyFont="1" applyFill="1" applyAlignment="1">
      <alignment horizontal="left"/>
    </xf>
    <xf numFmtId="3" fontId="83" fillId="0" borderId="3" xfId="20" applyNumberFormat="1" applyFont="1" applyBorder="1"/>
    <xf numFmtId="171" fontId="83" fillId="0" borderId="0" xfId="9" applyNumberFormat="1" applyFont="1" applyFill="1" applyAlignment="1" applyProtection="1"/>
    <xf numFmtId="3" fontId="23" fillId="0" borderId="4" xfId="20" applyNumberFormat="1" applyFont="1" applyBorder="1" applyAlignment="1">
      <alignment wrapText="1"/>
    </xf>
    <xf numFmtId="3" fontId="83" fillId="0" borderId="3" xfId="20" applyNumberFormat="1" applyFont="1" applyBorder="1" applyAlignment="1">
      <alignment horizontal="right"/>
    </xf>
    <xf numFmtId="0" fontId="172" fillId="0" borderId="4" xfId="20" applyFont="1" applyBorder="1"/>
    <xf numFmtId="3" fontId="83" fillId="0" borderId="0" xfId="20" applyNumberFormat="1" applyFont="1" applyAlignment="1">
      <alignment horizontal="right"/>
    </xf>
    <xf numFmtId="0" fontId="23" fillId="0" borderId="10" xfId="20" applyFont="1" applyBorder="1"/>
    <xf numFmtId="3" fontId="23" fillId="0" borderId="10" xfId="20" applyNumberFormat="1" applyFont="1" applyBorder="1" applyAlignment="1">
      <alignment horizontal="center"/>
    </xf>
    <xf numFmtId="3" fontId="83" fillId="0" borderId="10" xfId="20" applyNumberFormat="1" applyFont="1" applyBorder="1"/>
    <xf numFmtId="171" fontId="172" fillId="0" borderId="0" xfId="20" applyNumberFormat="1" applyFont="1" applyAlignment="1">
      <alignment horizontal="right"/>
    </xf>
    <xf numFmtId="0" fontId="165" fillId="0" borderId="0" xfId="20" applyFont="1"/>
    <xf numFmtId="164" fontId="23" fillId="0" borderId="0" xfId="2" applyNumberFormat="1" applyFont="1" applyAlignment="1" applyProtection="1">
      <alignment horizontal="right"/>
    </xf>
    <xf numFmtId="0" fontId="83" fillId="0" borderId="10" xfId="20" applyFont="1" applyBorder="1" applyAlignment="1">
      <alignment horizontal="left"/>
    </xf>
    <xf numFmtId="0" fontId="171" fillId="5" borderId="0" xfId="20" applyFont="1" applyFill="1" applyAlignment="1">
      <alignment horizontal="center"/>
    </xf>
    <xf numFmtId="0" fontId="23" fillId="5" borderId="0" xfId="20" applyFont="1" applyFill="1" applyAlignment="1">
      <alignment horizontal="right" wrapText="1"/>
    </xf>
    <xf numFmtId="171" fontId="83" fillId="0" borderId="0" xfId="9" applyNumberFormat="1" applyFont="1" applyAlignment="1" applyProtection="1">
      <alignment horizontal="right"/>
    </xf>
    <xf numFmtId="3" fontId="83" fillId="0" borderId="0" xfId="20" applyNumberFormat="1" applyFont="1"/>
    <xf numFmtId="0" fontId="165" fillId="0" borderId="4" xfId="20" applyFont="1" applyBorder="1"/>
    <xf numFmtId="0" fontId="23" fillId="0" borderId="0" xfId="20" applyFont="1" applyAlignment="1">
      <alignment wrapText="1"/>
    </xf>
    <xf numFmtId="10" fontId="23" fillId="0" borderId="0" xfId="9" applyNumberFormat="1" applyFont="1" applyFill="1" applyAlignment="1" applyProtection="1">
      <alignment horizontal="right"/>
    </xf>
    <xf numFmtId="10" fontId="23" fillId="0" borderId="0" xfId="9" applyNumberFormat="1" applyFont="1" applyAlignment="1" applyProtection="1">
      <alignment horizontal="right"/>
    </xf>
    <xf numFmtId="3" fontId="23" fillId="0" borderId="0" xfId="20" quotePrefix="1" applyNumberFormat="1" applyFont="1" applyAlignment="1">
      <alignment horizontal="right"/>
    </xf>
    <xf numFmtId="10" fontId="23" fillId="0" borderId="4" xfId="9" applyNumberFormat="1" applyFont="1" applyBorder="1" applyAlignment="1" applyProtection="1">
      <alignment horizontal="right"/>
    </xf>
    <xf numFmtId="3" fontId="83" fillId="0" borderId="0" xfId="20" quotePrefix="1" applyNumberFormat="1" applyFont="1" applyAlignment="1">
      <alignment horizontal="right"/>
    </xf>
    <xf numFmtId="10" fontId="83" fillId="0" borderId="0" xfId="9" applyNumberFormat="1" applyFont="1" applyAlignment="1" applyProtection="1">
      <alignment horizontal="right"/>
    </xf>
    <xf numFmtId="165" fontId="83" fillId="0" borderId="0" xfId="20" applyNumberFormat="1" applyFont="1" applyAlignment="1">
      <alignment horizontal="right"/>
    </xf>
    <xf numFmtId="167" fontId="83" fillId="0" borderId="10" xfId="20" applyNumberFormat="1" applyFont="1" applyBorder="1" applyAlignment="1">
      <alignment horizontal="left"/>
    </xf>
    <xf numFmtId="3" fontId="83" fillId="0" borderId="10" xfId="20" applyNumberFormat="1" applyFont="1" applyBorder="1" applyAlignment="1">
      <alignment horizontal="center"/>
    </xf>
    <xf numFmtId="168" fontId="83" fillId="0" borderId="10" xfId="20" applyNumberFormat="1" applyFont="1" applyBorder="1" applyAlignment="1">
      <alignment horizontal="center"/>
    </xf>
    <xf numFmtId="168" fontId="23" fillId="0" borderId="0" xfId="20" applyNumberFormat="1" applyFont="1" applyAlignment="1">
      <alignment horizontal="center"/>
    </xf>
    <xf numFmtId="10" fontId="23" fillId="8" borderId="0" xfId="20" applyNumberFormat="1" applyFont="1" applyFill="1"/>
    <xf numFmtId="10" fontId="23" fillId="0" borderId="0" xfId="20" applyNumberFormat="1" applyFont="1"/>
    <xf numFmtId="10" fontId="23" fillId="0" borderId="0" xfId="9" applyNumberFormat="1" applyFont="1" applyFill="1" applyProtection="1"/>
    <xf numFmtId="167" fontId="23" fillId="0" borderId="0" xfId="20" applyNumberFormat="1" applyFont="1" applyAlignment="1">
      <alignment horizontal="left"/>
    </xf>
    <xf numFmtId="10" fontId="23" fillId="0" borderId="0" xfId="20" applyNumberFormat="1" applyFont="1" applyAlignment="1">
      <alignment horizontal="right"/>
    </xf>
    <xf numFmtId="10" fontId="23" fillId="0" borderId="0" xfId="9" applyNumberFormat="1" applyFont="1" applyAlignment="1" applyProtection="1"/>
    <xf numFmtId="168" fontId="23" fillId="0" borderId="4" xfId="20" applyNumberFormat="1" applyFont="1" applyBorder="1" applyAlignment="1">
      <alignment horizontal="center"/>
    </xf>
    <xf numFmtId="10" fontId="23" fillId="0" borderId="4" xfId="20" applyNumberFormat="1" applyFont="1" applyBorder="1"/>
    <xf numFmtId="0" fontId="83" fillId="0" borderId="3" xfId="20" applyFont="1" applyBorder="1" applyAlignment="1">
      <alignment horizontal="left"/>
    </xf>
    <xf numFmtId="3" fontId="35" fillId="0" borderId="0" xfId="20" applyNumberFormat="1" applyFont="1" applyAlignment="1">
      <alignment horizontal="right"/>
    </xf>
    <xf numFmtId="167" fontId="83" fillId="0" borderId="5" xfId="20" applyNumberFormat="1" applyFont="1" applyBorder="1" applyAlignment="1">
      <alignment horizontal="left"/>
    </xf>
    <xf numFmtId="3" fontId="83" fillId="0" borderId="5" xfId="20" applyNumberFormat="1" applyFont="1" applyBorder="1"/>
    <xf numFmtId="168" fontId="83" fillId="0" borderId="5" xfId="20" applyNumberFormat="1" applyFont="1" applyBorder="1"/>
    <xf numFmtId="3" fontId="83" fillId="0" borderId="5" xfId="2" applyNumberFormat="1" applyFont="1" applyFill="1" applyBorder="1" applyAlignment="1" applyProtection="1">
      <alignment horizontal="right"/>
    </xf>
    <xf numFmtId="168" fontId="23" fillId="0" borderId="0" xfId="20" applyNumberFormat="1" applyFont="1"/>
    <xf numFmtId="165" fontId="23" fillId="0" borderId="0" xfId="20" applyNumberFormat="1" applyFont="1"/>
    <xf numFmtId="3" fontId="83" fillId="0" borderId="3" xfId="20" applyNumberFormat="1" applyFont="1" applyBorder="1" applyAlignment="1">
      <alignment horizontal="center"/>
    </xf>
    <xf numFmtId="0" fontId="83" fillId="0" borderId="17" xfId="20" applyFont="1" applyBorder="1" applyAlignment="1">
      <alignment horizontal="center"/>
    </xf>
    <xf numFmtId="0" fontId="23" fillId="0" borderId="22" xfId="20" applyFont="1" applyBorder="1" applyAlignment="1">
      <alignment horizontal="center"/>
    </xf>
    <xf numFmtId="0" fontId="83" fillId="0" borderId="22" xfId="20" applyFont="1" applyBorder="1"/>
    <xf numFmtId="0" fontId="172" fillId="0" borderId="22" xfId="20" applyFont="1" applyBorder="1" applyAlignment="1">
      <alignment horizontal="center"/>
    </xf>
    <xf numFmtId="3" fontId="83" fillId="0" borderId="22" xfId="20" applyNumberFormat="1" applyFont="1" applyBorder="1"/>
    <xf numFmtId="0" fontId="23" fillId="0" borderId="22" xfId="20" applyFont="1" applyBorder="1"/>
    <xf numFmtId="3" fontId="83" fillId="0" borderId="22" xfId="20" applyNumberFormat="1" applyFont="1" applyBorder="1" applyAlignment="1">
      <alignment horizontal="right"/>
    </xf>
    <xf numFmtId="3" fontId="83" fillId="0" borderId="4" xfId="20" applyNumberFormat="1" applyFont="1" applyBorder="1" applyAlignment="1">
      <alignment horizontal="center"/>
    </xf>
    <xf numFmtId="43" fontId="23" fillId="0" borderId="0" xfId="20" applyNumberFormat="1" applyFont="1"/>
    <xf numFmtId="0" fontId="83" fillId="0" borderId="11" xfId="20" applyFont="1" applyBorder="1" applyAlignment="1">
      <alignment horizontal="center"/>
    </xf>
    <xf numFmtId="0" fontId="83" fillId="0" borderId="12" xfId="20" applyFont="1" applyBorder="1"/>
    <xf numFmtId="0" fontId="83" fillId="0" borderId="12" xfId="20" applyFont="1" applyBorder="1" applyAlignment="1">
      <alignment horizontal="left"/>
    </xf>
    <xf numFmtId="3" fontId="83" fillId="0" borderId="12" xfId="20" applyNumberFormat="1" applyFont="1" applyBorder="1"/>
    <xf numFmtId="0" fontId="83" fillId="0" borderId="12" xfId="20" applyFont="1" applyBorder="1" applyAlignment="1">
      <alignment horizontal="center"/>
    </xf>
    <xf numFmtId="3" fontId="83" fillId="0" borderId="12" xfId="20" applyNumberFormat="1" applyFont="1" applyBorder="1" applyAlignment="1">
      <alignment horizontal="right"/>
    </xf>
    <xf numFmtId="170" fontId="83" fillId="0" borderId="0" xfId="9" applyNumberFormat="1" applyFont="1" applyAlignment="1" applyProtection="1">
      <alignment horizontal="right"/>
    </xf>
    <xf numFmtId="0" fontId="175" fillId="0" borderId="4" xfId="20" applyFont="1" applyBorder="1"/>
    <xf numFmtId="3" fontId="83" fillId="0" borderId="4" xfId="20" applyNumberFormat="1" applyFont="1" applyBorder="1" applyAlignment="1">
      <alignment horizontal="right"/>
    </xf>
    <xf numFmtId="164" fontId="83" fillId="0" borderId="0" xfId="2" applyNumberFormat="1" applyFont="1" applyFill="1" applyAlignment="1" applyProtection="1">
      <alignment horizontal="right"/>
    </xf>
    <xf numFmtId="176" fontId="83" fillId="0" borderId="0" xfId="20" applyNumberFormat="1" applyFont="1" applyAlignment="1">
      <alignment horizontal="right"/>
    </xf>
    <xf numFmtId="0" fontId="170" fillId="0" borderId="0" xfId="20" applyFont="1" applyAlignment="1">
      <alignment horizontal="center"/>
    </xf>
    <xf numFmtId="4" fontId="83" fillId="0" borderId="0" xfId="6" applyNumberFormat="1" applyFont="1" applyBorder="1" applyAlignment="1" applyProtection="1">
      <alignment horizontal="right"/>
    </xf>
    <xf numFmtId="37" fontId="83" fillId="0" borderId="0" xfId="20" applyNumberFormat="1" applyFont="1" applyAlignment="1">
      <alignment horizontal="right"/>
    </xf>
    <xf numFmtId="0" fontId="83" fillId="0" borderId="7" xfId="20" applyFont="1" applyBorder="1" applyAlignment="1">
      <alignment horizontal="center"/>
    </xf>
    <xf numFmtId="4" fontId="83" fillId="0" borderId="24" xfId="6" applyNumberFormat="1" applyFont="1" applyBorder="1" applyAlignment="1" applyProtection="1">
      <alignment horizontal="right"/>
    </xf>
    <xf numFmtId="0" fontId="83" fillId="0" borderId="16" xfId="20" applyFont="1" applyBorder="1" applyAlignment="1">
      <alignment horizontal="center"/>
    </xf>
    <xf numFmtId="4" fontId="83" fillId="0" borderId="15" xfId="6" applyNumberFormat="1" applyFont="1" applyBorder="1" applyAlignment="1" applyProtection="1">
      <alignment horizontal="right"/>
    </xf>
    <xf numFmtId="0" fontId="83" fillId="0" borderId="6" xfId="20" applyFont="1" applyBorder="1" applyAlignment="1">
      <alignment horizontal="center"/>
    </xf>
    <xf numFmtId="0" fontId="83" fillId="0" borderId="2" xfId="20" applyFont="1" applyBorder="1" applyAlignment="1">
      <alignment horizontal="center"/>
    </xf>
    <xf numFmtId="4" fontId="83" fillId="0" borderId="9" xfId="6" applyNumberFormat="1" applyFont="1" applyBorder="1" applyAlignment="1" applyProtection="1">
      <alignment horizontal="right"/>
    </xf>
    <xf numFmtId="0" fontId="23" fillId="0" borderId="0" xfId="20" applyFont="1" applyAlignment="1">
      <alignment horizontal="center" vertical="center"/>
    </xf>
    <xf numFmtId="0" fontId="171" fillId="0" borderId="0" xfId="20" applyFont="1" applyAlignment="1">
      <alignment horizontal="left"/>
    </xf>
    <xf numFmtId="0" fontId="23" fillId="0" borderId="0" xfId="20" applyFont="1" applyAlignment="1">
      <alignment vertical="center"/>
    </xf>
    <xf numFmtId="10" fontId="23" fillId="11" borderId="0" xfId="9" applyNumberFormat="1" applyFont="1" applyFill="1" applyAlignment="1" applyProtection="1">
      <alignment horizontal="right"/>
    </xf>
    <xf numFmtId="3" fontId="176" fillId="0" borderId="0" xfId="20" applyNumberFormat="1" applyFont="1"/>
    <xf numFmtId="3" fontId="177" fillId="79" borderId="0" xfId="20" applyNumberFormat="1" applyFont="1" applyFill="1"/>
    <xf numFmtId="3" fontId="35" fillId="0" borderId="0" xfId="346" applyNumberFormat="1" applyFont="1"/>
    <xf numFmtId="0" fontId="23" fillId="0" borderId="0" xfId="20" applyFont="1" applyAlignment="1">
      <alignment horizontal="center"/>
    </xf>
    <xf numFmtId="0" fontId="23" fillId="6" borderId="8" xfId="20" applyFont="1" applyFill="1" applyBorder="1" applyAlignment="1">
      <alignment horizontal="center"/>
    </xf>
    <xf numFmtId="0" fontId="23" fillId="6" borderId="24" xfId="20" applyFont="1" applyFill="1" applyBorder="1" applyAlignment="1">
      <alignment horizontal="center"/>
    </xf>
    <xf numFmtId="0" fontId="23" fillId="0" borderId="0" xfId="20" applyFont="1" applyAlignment="1">
      <alignment horizontal="left" wrapText="1"/>
    </xf>
    <xf numFmtId="0" fontId="23" fillId="0" borderId="0" xfId="0" applyFont="1" applyAlignment="1">
      <alignment horizontal="left" wrapText="1"/>
    </xf>
    <xf numFmtId="0" fontId="83" fillId="0" borderId="0" xfId="0" applyFont="1" applyAlignment="1">
      <alignment horizontal="center"/>
    </xf>
    <xf numFmtId="0" fontId="23" fillId="0" borderId="0" xfId="0" applyFont="1" applyAlignment="1">
      <alignment wrapText="1"/>
    </xf>
    <xf numFmtId="0" fontId="23" fillId="0" borderId="0" xfId="0" applyFont="1"/>
    <xf numFmtId="0" fontId="83" fillId="0" borderId="0" xfId="20" applyFont="1" applyAlignment="1">
      <alignment horizontal="center"/>
    </xf>
    <xf numFmtId="0" fontId="23" fillId="0" borderId="0" xfId="20" applyFont="1"/>
    <xf numFmtId="0" fontId="83" fillId="0" borderId="0" xfId="0" applyFont="1" applyAlignment="1">
      <alignment horizontal="right"/>
    </xf>
    <xf numFmtId="0" fontId="169" fillId="0" borderId="61" xfId="346" applyFont="1" applyBorder="1" applyAlignment="1">
      <alignment horizontal="center" vertical="center"/>
    </xf>
    <xf numFmtId="0" fontId="169" fillId="0" borderId="3" xfId="346" applyFont="1" applyBorder="1" applyAlignment="1">
      <alignment horizontal="center" vertical="center"/>
    </xf>
    <xf numFmtId="0" fontId="169" fillId="0" borderId="62" xfId="346" applyFont="1" applyBorder="1" applyAlignment="1">
      <alignment horizontal="center" vertical="center"/>
    </xf>
    <xf numFmtId="0" fontId="169" fillId="0" borderId="63" xfId="346" applyFont="1" applyBorder="1" applyAlignment="1">
      <alignment horizontal="center" vertical="center" wrapText="1"/>
    </xf>
    <xf numFmtId="0" fontId="169" fillId="0" borderId="22" xfId="346" applyFont="1" applyBorder="1" applyAlignment="1">
      <alignment horizontal="center" vertical="center" wrapText="1"/>
    </xf>
    <xf numFmtId="0" fontId="169" fillId="0" borderId="57" xfId="346" applyFont="1" applyBorder="1" applyAlignment="1">
      <alignment horizontal="center" vertical="center" wrapText="1"/>
    </xf>
    <xf numFmtId="0" fontId="158" fillId="0" borderId="63" xfId="346" applyFont="1" applyBorder="1" applyAlignment="1">
      <alignment horizontal="center" vertical="center"/>
    </xf>
    <xf numFmtId="0" fontId="158" fillId="0" borderId="22" xfId="346" applyFont="1" applyBorder="1" applyAlignment="1">
      <alignment horizontal="center" vertical="center"/>
    </xf>
    <xf numFmtId="0" fontId="83" fillId="0" borderId="0" xfId="1" applyFont="1" applyAlignment="1">
      <alignment horizontal="center"/>
    </xf>
    <xf numFmtId="0" fontId="83" fillId="0" borderId="0" xfId="1" applyFont="1"/>
    <xf numFmtId="0" fontId="23" fillId="0" borderId="0" xfId="1" applyFont="1" applyAlignment="1">
      <alignment vertical="top" wrapText="1"/>
    </xf>
    <xf numFmtId="0" fontId="23" fillId="0" borderId="0" xfId="1" applyFont="1" applyAlignment="1">
      <alignment vertical="center" wrapText="1"/>
    </xf>
    <xf numFmtId="0" fontId="83" fillId="0" borderId="2" xfId="20" applyFont="1" applyBorder="1" applyAlignment="1">
      <alignment horizontal="center" wrapText="1"/>
    </xf>
    <xf numFmtId="0" fontId="83" fillId="0" borderId="9" xfId="20" applyFont="1" applyBorder="1" applyAlignment="1">
      <alignment horizontal="center" wrapText="1"/>
    </xf>
    <xf numFmtId="0" fontId="83" fillId="0" borderId="0" xfId="20" applyFont="1" applyAlignment="1">
      <alignment horizontal="center" wrapText="1"/>
    </xf>
    <xf numFmtId="0" fontId="83" fillId="0" borderId="15" xfId="20" applyFont="1" applyBorder="1" applyAlignment="1">
      <alignment horizontal="center" wrapText="1"/>
    </xf>
    <xf numFmtId="0" fontId="83" fillId="10" borderId="12" xfId="20" applyFont="1" applyFill="1" applyBorder="1" applyAlignment="1">
      <alignment horizontal="center" wrapText="1"/>
    </xf>
    <xf numFmtId="0" fontId="83" fillId="10" borderId="14" xfId="20" applyFont="1" applyFill="1" applyBorder="1" applyAlignment="1">
      <alignment horizontal="center" wrapText="1"/>
    </xf>
    <xf numFmtId="0" fontId="83" fillId="10" borderId="8" xfId="20" applyFont="1" applyFill="1" applyBorder="1" applyAlignment="1">
      <alignment horizontal="center" wrapText="1"/>
    </xf>
    <xf numFmtId="0" fontId="83" fillId="10" borderId="24" xfId="20" applyFont="1" applyFill="1" applyBorder="1" applyAlignment="1">
      <alignment horizontal="center" wrapText="1"/>
    </xf>
    <xf numFmtId="37" fontId="83" fillId="11" borderId="3" xfId="20" applyNumberFormat="1" applyFont="1" applyFill="1" applyBorder="1" applyAlignment="1">
      <alignment horizontal="center"/>
    </xf>
    <xf numFmtId="37" fontId="83" fillId="11" borderId="77" xfId="20" applyNumberFormat="1" applyFont="1" applyFill="1" applyBorder="1" applyAlignment="1">
      <alignment horizontal="center"/>
    </xf>
    <xf numFmtId="37" fontId="83" fillId="0" borderId="0" xfId="20" applyNumberFormat="1" applyFont="1" applyAlignment="1">
      <alignment horizontal="center"/>
    </xf>
    <xf numFmtId="37" fontId="83" fillId="11" borderId="58" xfId="20" applyNumberFormat="1" applyFont="1" applyFill="1" applyBorder="1" applyAlignment="1">
      <alignment horizontal="center"/>
    </xf>
    <xf numFmtId="37" fontId="83" fillId="11" borderId="10" xfId="20" applyNumberFormat="1" applyFont="1" applyFill="1" applyBorder="1" applyAlignment="1">
      <alignment horizontal="center"/>
    </xf>
    <xf numFmtId="37" fontId="83" fillId="11" borderId="67" xfId="20" applyNumberFormat="1" applyFont="1" applyFill="1" applyBorder="1" applyAlignment="1">
      <alignment horizontal="center"/>
    </xf>
    <xf numFmtId="37" fontId="83" fillId="0" borderId="12" xfId="20" applyNumberFormat="1" applyFont="1" applyBorder="1" applyAlignment="1">
      <alignment horizontal="center"/>
    </xf>
    <xf numFmtId="37" fontId="83" fillId="0" borderId="14" xfId="20" applyNumberFormat="1" applyFont="1" applyBorder="1" applyAlignment="1">
      <alignment horizontal="center"/>
    </xf>
    <xf numFmtId="0" fontId="23" fillId="0" borderId="0" xfId="0" applyFont="1" applyAlignment="1">
      <alignment horizontal="center"/>
    </xf>
    <xf numFmtId="10" fontId="23" fillId="0" borderId="0" xfId="9" applyNumberFormat="1" applyFont="1" applyAlignment="1">
      <alignment horizontal="center"/>
    </xf>
    <xf numFmtId="2" fontId="23" fillId="0" borderId="0" xfId="0" applyNumberFormat="1" applyFont="1" applyAlignment="1">
      <alignment horizontal="left" wrapText="1"/>
    </xf>
    <xf numFmtId="0" fontId="23" fillId="0" borderId="0" xfId="0" applyFont="1" applyAlignment="1">
      <alignment horizontal="left"/>
    </xf>
    <xf numFmtId="0" fontId="83" fillId="0" borderId="0" xfId="0" applyFont="1" applyAlignment="1">
      <alignment horizontal="center" wrapText="1"/>
    </xf>
    <xf numFmtId="280" fontId="83" fillId="0" borderId="0" xfId="0" applyNumberFormat="1" applyFont="1" applyAlignment="1">
      <alignment horizontal="center"/>
    </xf>
    <xf numFmtId="0" fontId="23" fillId="0" borderId="0" xfId="0" applyFont="1" applyAlignment="1">
      <alignment horizontal="left" vertical="top" wrapText="1"/>
    </xf>
    <xf numFmtId="0" fontId="83" fillId="0" borderId="0" xfId="743" applyNumberFormat="1" applyFont="1" applyAlignment="1" applyProtection="1">
      <alignment horizontal="center"/>
      <protection locked="0"/>
    </xf>
    <xf numFmtId="10" fontId="83" fillId="0" borderId="0" xfId="9" applyNumberFormat="1" applyFont="1" applyAlignment="1">
      <alignment horizontal="center"/>
    </xf>
  </cellXfs>
  <cellStyles count="10337">
    <cellStyle name="_x0013_" xfId="24" xr:uid="{00000000-0005-0000-0000-000000000000}"/>
    <cellStyle name="_x0013_ 2" xfId="44" xr:uid="{00000000-0005-0000-0000-000001000000}"/>
    <cellStyle name="_x0013_ 2 2" xfId="45" xr:uid="{00000000-0005-0000-0000-000002000000}"/>
    <cellStyle name="_x0013_ 3" xfId="46" xr:uid="{00000000-0005-0000-0000-000003000000}"/>
    <cellStyle name="_x0013_ 4" xfId="47" xr:uid="{00000000-0005-0000-0000-000004000000}"/>
    <cellStyle name="_x0013__2012-ETn-CS-MDS-16-Northeast Grid-PEEM CWIP in RB 10-7-2011 CRC" xfId="48" xr:uid="{00000000-0005-0000-0000-000005000000}"/>
    <cellStyle name="_x0013__2013 ED Capital Projects By Month" xfId="49" xr:uid="{00000000-0005-0000-0000-000006000000}"/>
    <cellStyle name="_x0013__Input" xfId="50" xr:uid="{00000000-0005-0000-0000-000007000000}"/>
    <cellStyle name="_x0013__TPIS Report_April_2013" xfId="51" xr:uid="{00000000-0005-0000-0000-000008000000}"/>
    <cellStyle name="_x0013__TPIS Report_February_2013Ver2" xfId="52" xr:uid="{00000000-0005-0000-0000-000009000000}"/>
    <cellStyle name="_x0013__TPIS Report_May_2013-v2 (2)" xfId="53" xr:uid="{00000000-0005-0000-0000-00000A000000}"/>
    <cellStyle name="_x0013__TPIS TLC_Gloria File" xfId="54" xr:uid="{00000000-0005-0000-0000-00000B000000}"/>
    <cellStyle name="_x0013__TPIS TLC_Gloria File rev2" xfId="55" xr:uid="{00000000-0005-0000-0000-00000C000000}"/>
    <cellStyle name="_x0013__TPIS TLC_Gloria File rev2 (3)" xfId="56" xr:uid="{00000000-0005-0000-0000-00000D000000}"/>
    <cellStyle name="¢ Currency [1]" xfId="568" xr:uid="{00000000-0005-0000-0000-00000E000000}"/>
    <cellStyle name="¢ Currency [2]" xfId="569" xr:uid="{00000000-0005-0000-0000-00000F000000}"/>
    <cellStyle name="¢ Currency [3]" xfId="570" xr:uid="{00000000-0005-0000-0000-000010000000}"/>
    <cellStyle name="£ Currency [0]" xfId="571" xr:uid="{00000000-0005-0000-0000-000011000000}"/>
    <cellStyle name="£ Currency [1]" xfId="572" xr:uid="{00000000-0005-0000-0000-000012000000}"/>
    <cellStyle name="£ Currency [2]" xfId="573" xr:uid="{00000000-0005-0000-0000-000013000000}"/>
    <cellStyle name="=C:\WINNT35\SYSTEM32\COMMAND.COM" xfId="567" xr:uid="{00000000-0005-0000-0000-000014000000}"/>
    <cellStyle name="20% - Accent1 2" xfId="57" xr:uid="{00000000-0005-0000-0000-000015000000}"/>
    <cellStyle name="20% - Accent1 2 2" xfId="58" xr:uid="{00000000-0005-0000-0000-000016000000}"/>
    <cellStyle name="20% - Accent1 2 2 2" xfId="59" xr:uid="{00000000-0005-0000-0000-000017000000}"/>
    <cellStyle name="20% - Accent1 2 2 2 2" xfId="445" xr:uid="{00000000-0005-0000-0000-000018000000}"/>
    <cellStyle name="20% - Accent1 2 2 3" xfId="60" xr:uid="{00000000-0005-0000-0000-000019000000}"/>
    <cellStyle name="20% - Accent1 2 2 4" xfId="61" xr:uid="{00000000-0005-0000-0000-00001A000000}"/>
    <cellStyle name="20% - Accent1 2 3" xfId="62" xr:uid="{00000000-0005-0000-0000-00001B000000}"/>
    <cellStyle name="20% - Accent1 2 3 2" xfId="446" xr:uid="{00000000-0005-0000-0000-00001C000000}"/>
    <cellStyle name="20% - Accent1 2 4" xfId="63" xr:uid="{00000000-0005-0000-0000-00001D000000}"/>
    <cellStyle name="20% - Accent1 2 5" xfId="64" xr:uid="{00000000-0005-0000-0000-00001E000000}"/>
    <cellStyle name="20% - Accent1 2 6" xfId="1066" xr:uid="{00000000-0005-0000-0000-00001F000000}"/>
    <cellStyle name="20% - Accent1 3" xfId="1560" xr:uid="{00000000-0005-0000-0000-000020000000}"/>
    <cellStyle name="20% - Accent1 4" xfId="1561" xr:uid="{00000000-0005-0000-0000-000021000000}"/>
    <cellStyle name="20% - Accent1 5" xfId="1562" xr:uid="{00000000-0005-0000-0000-000022000000}"/>
    <cellStyle name="20% - Accent1 5 2" xfId="1563" xr:uid="{00000000-0005-0000-0000-000023000000}"/>
    <cellStyle name="20% - Accent1 5 2 2" xfId="1564" xr:uid="{00000000-0005-0000-0000-000024000000}"/>
    <cellStyle name="20% - Accent1 5 2 3" xfId="1565" xr:uid="{00000000-0005-0000-0000-000025000000}"/>
    <cellStyle name="20% - Accent1 5 3" xfId="1566" xr:uid="{00000000-0005-0000-0000-000026000000}"/>
    <cellStyle name="20% - Accent1 5 4" xfId="1567" xr:uid="{00000000-0005-0000-0000-000027000000}"/>
    <cellStyle name="20% - Accent1 5 5" xfId="1568" xr:uid="{00000000-0005-0000-0000-000028000000}"/>
    <cellStyle name="20% - Accent1 6" xfId="1569" xr:uid="{00000000-0005-0000-0000-000029000000}"/>
    <cellStyle name="20% - Accent1 7" xfId="1570" xr:uid="{00000000-0005-0000-0000-00002A000000}"/>
    <cellStyle name="20% - Accent1 8" xfId="1571" xr:uid="{00000000-0005-0000-0000-00002B000000}"/>
    <cellStyle name="20% - Accent1 9" xfId="1572" xr:uid="{00000000-0005-0000-0000-00002C000000}"/>
    <cellStyle name="20% - Accent2 2" xfId="65" xr:uid="{00000000-0005-0000-0000-00002D000000}"/>
    <cellStyle name="20% - Accent2 2 2" xfId="66" xr:uid="{00000000-0005-0000-0000-00002E000000}"/>
    <cellStyle name="20% - Accent2 2 2 2" xfId="67" xr:uid="{00000000-0005-0000-0000-00002F000000}"/>
    <cellStyle name="20% - Accent2 2 2 2 2" xfId="447" xr:uid="{00000000-0005-0000-0000-000030000000}"/>
    <cellStyle name="20% - Accent2 2 2 3" xfId="68" xr:uid="{00000000-0005-0000-0000-000031000000}"/>
    <cellStyle name="20% - Accent2 2 2 4" xfId="69" xr:uid="{00000000-0005-0000-0000-000032000000}"/>
    <cellStyle name="20% - Accent2 2 3" xfId="70" xr:uid="{00000000-0005-0000-0000-000033000000}"/>
    <cellStyle name="20% - Accent2 2 3 2" xfId="448" xr:uid="{00000000-0005-0000-0000-000034000000}"/>
    <cellStyle name="20% - Accent2 2 4" xfId="71" xr:uid="{00000000-0005-0000-0000-000035000000}"/>
    <cellStyle name="20% - Accent2 2 5" xfId="72" xr:uid="{00000000-0005-0000-0000-000036000000}"/>
    <cellStyle name="20% - Accent2 2 6" xfId="1067" xr:uid="{00000000-0005-0000-0000-000037000000}"/>
    <cellStyle name="20% - Accent2 3" xfId="1573" xr:uid="{00000000-0005-0000-0000-000038000000}"/>
    <cellStyle name="20% - Accent2 4" xfId="1574" xr:uid="{00000000-0005-0000-0000-000039000000}"/>
    <cellStyle name="20% - Accent2 5" xfId="1575" xr:uid="{00000000-0005-0000-0000-00003A000000}"/>
    <cellStyle name="20% - Accent2 5 2" xfId="1576" xr:uid="{00000000-0005-0000-0000-00003B000000}"/>
    <cellStyle name="20% - Accent2 5 2 2" xfId="1577" xr:uid="{00000000-0005-0000-0000-00003C000000}"/>
    <cellStyle name="20% - Accent2 5 2 3" xfId="1578" xr:uid="{00000000-0005-0000-0000-00003D000000}"/>
    <cellStyle name="20% - Accent2 5 3" xfId="1579" xr:uid="{00000000-0005-0000-0000-00003E000000}"/>
    <cellStyle name="20% - Accent2 5 4" xfId="1580" xr:uid="{00000000-0005-0000-0000-00003F000000}"/>
    <cellStyle name="20% - Accent2 5 5" xfId="1581" xr:uid="{00000000-0005-0000-0000-000040000000}"/>
    <cellStyle name="20% - Accent2 6" xfId="1582" xr:uid="{00000000-0005-0000-0000-000041000000}"/>
    <cellStyle name="20% - Accent2 7" xfId="1583" xr:uid="{00000000-0005-0000-0000-000042000000}"/>
    <cellStyle name="20% - Accent2 8" xfId="1584" xr:uid="{00000000-0005-0000-0000-000043000000}"/>
    <cellStyle name="20% - Accent2 9" xfId="1585" xr:uid="{00000000-0005-0000-0000-000044000000}"/>
    <cellStyle name="20% - Accent3 2" xfId="73" xr:uid="{00000000-0005-0000-0000-000045000000}"/>
    <cellStyle name="20% - Accent3 2 2" xfId="74" xr:uid="{00000000-0005-0000-0000-000046000000}"/>
    <cellStyle name="20% - Accent3 2 2 2" xfId="75" xr:uid="{00000000-0005-0000-0000-000047000000}"/>
    <cellStyle name="20% - Accent3 2 2 2 2" xfId="449" xr:uid="{00000000-0005-0000-0000-000048000000}"/>
    <cellStyle name="20% - Accent3 2 2 3" xfId="76" xr:uid="{00000000-0005-0000-0000-000049000000}"/>
    <cellStyle name="20% - Accent3 2 2 4" xfId="77" xr:uid="{00000000-0005-0000-0000-00004A000000}"/>
    <cellStyle name="20% - Accent3 2 3" xfId="78" xr:uid="{00000000-0005-0000-0000-00004B000000}"/>
    <cellStyle name="20% - Accent3 2 3 2" xfId="450" xr:uid="{00000000-0005-0000-0000-00004C000000}"/>
    <cellStyle name="20% - Accent3 2 4" xfId="79" xr:uid="{00000000-0005-0000-0000-00004D000000}"/>
    <cellStyle name="20% - Accent3 2 5" xfId="80" xr:uid="{00000000-0005-0000-0000-00004E000000}"/>
    <cellStyle name="20% - Accent3 2 6" xfId="1068" xr:uid="{00000000-0005-0000-0000-00004F000000}"/>
    <cellStyle name="20% - Accent3 3" xfId="1586" xr:uid="{00000000-0005-0000-0000-000050000000}"/>
    <cellStyle name="20% - Accent3 4" xfId="1587" xr:uid="{00000000-0005-0000-0000-000051000000}"/>
    <cellStyle name="20% - Accent3 5" xfId="1588" xr:uid="{00000000-0005-0000-0000-000052000000}"/>
    <cellStyle name="20% - Accent3 5 2" xfId="1589" xr:uid="{00000000-0005-0000-0000-000053000000}"/>
    <cellStyle name="20% - Accent3 5 2 2" xfId="1590" xr:uid="{00000000-0005-0000-0000-000054000000}"/>
    <cellStyle name="20% - Accent3 5 2 3" xfId="1591" xr:uid="{00000000-0005-0000-0000-000055000000}"/>
    <cellStyle name="20% - Accent3 5 3" xfId="1592" xr:uid="{00000000-0005-0000-0000-000056000000}"/>
    <cellStyle name="20% - Accent3 5 4" xfId="1593" xr:uid="{00000000-0005-0000-0000-000057000000}"/>
    <cellStyle name="20% - Accent3 5 5" xfId="1594" xr:uid="{00000000-0005-0000-0000-000058000000}"/>
    <cellStyle name="20% - Accent3 6" xfId="1595" xr:uid="{00000000-0005-0000-0000-000059000000}"/>
    <cellStyle name="20% - Accent3 7" xfId="1596" xr:uid="{00000000-0005-0000-0000-00005A000000}"/>
    <cellStyle name="20% - Accent3 8" xfId="1597" xr:uid="{00000000-0005-0000-0000-00005B000000}"/>
    <cellStyle name="20% - Accent3 9" xfId="1598" xr:uid="{00000000-0005-0000-0000-00005C000000}"/>
    <cellStyle name="20% - Accent4 2" xfId="81" xr:uid="{00000000-0005-0000-0000-00005D000000}"/>
    <cellStyle name="20% - Accent4 2 2" xfId="82" xr:uid="{00000000-0005-0000-0000-00005E000000}"/>
    <cellStyle name="20% - Accent4 2 2 2" xfId="83" xr:uid="{00000000-0005-0000-0000-00005F000000}"/>
    <cellStyle name="20% - Accent4 2 2 2 2" xfId="451" xr:uid="{00000000-0005-0000-0000-000060000000}"/>
    <cellStyle name="20% - Accent4 2 2 3" xfId="84" xr:uid="{00000000-0005-0000-0000-000061000000}"/>
    <cellStyle name="20% - Accent4 2 2 4" xfId="85" xr:uid="{00000000-0005-0000-0000-000062000000}"/>
    <cellStyle name="20% - Accent4 2 3" xfId="86" xr:uid="{00000000-0005-0000-0000-000063000000}"/>
    <cellStyle name="20% - Accent4 2 3 2" xfId="452" xr:uid="{00000000-0005-0000-0000-000064000000}"/>
    <cellStyle name="20% - Accent4 2 4" xfId="87" xr:uid="{00000000-0005-0000-0000-000065000000}"/>
    <cellStyle name="20% - Accent4 2 5" xfId="88" xr:uid="{00000000-0005-0000-0000-000066000000}"/>
    <cellStyle name="20% - Accent4 2 6" xfId="1069" xr:uid="{00000000-0005-0000-0000-000067000000}"/>
    <cellStyle name="20% - Accent4 3" xfId="1599" xr:uid="{00000000-0005-0000-0000-000068000000}"/>
    <cellStyle name="20% - Accent4 4" xfId="1600" xr:uid="{00000000-0005-0000-0000-000069000000}"/>
    <cellStyle name="20% - Accent4 5" xfId="1601" xr:uid="{00000000-0005-0000-0000-00006A000000}"/>
    <cellStyle name="20% - Accent4 5 2" xfId="1602" xr:uid="{00000000-0005-0000-0000-00006B000000}"/>
    <cellStyle name="20% - Accent4 5 2 2" xfId="1603" xr:uid="{00000000-0005-0000-0000-00006C000000}"/>
    <cellStyle name="20% - Accent4 5 2 3" xfId="1604" xr:uid="{00000000-0005-0000-0000-00006D000000}"/>
    <cellStyle name="20% - Accent4 5 3" xfId="1605" xr:uid="{00000000-0005-0000-0000-00006E000000}"/>
    <cellStyle name="20% - Accent4 5 4" xfId="1606" xr:uid="{00000000-0005-0000-0000-00006F000000}"/>
    <cellStyle name="20% - Accent4 5 5" xfId="1607" xr:uid="{00000000-0005-0000-0000-000070000000}"/>
    <cellStyle name="20% - Accent4 6" xfId="1608" xr:uid="{00000000-0005-0000-0000-000071000000}"/>
    <cellStyle name="20% - Accent4 7" xfId="1609" xr:uid="{00000000-0005-0000-0000-000072000000}"/>
    <cellStyle name="20% - Accent4 8" xfId="1610" xr:uid="{00000000-0005-0000-0000-000073000000}"/>
    <cellStyle name="20% - Accent4 9" xfId="1611" xr:uid="{00000000-0005-0000-0000-000074000000}"/>
    <cellStyle name="20% - Accent5 2" xfId="89" xr:uid="{00000000-0005-0000-0000-000075000000}"/>
    <cellStyle name="20% - Accent5 2 2" xfId="90" xr:uid="{00000000-0005-0000-0000-000076000000}"/>
    <cellStyle name="20% - Accent5 2 2 2" xfId="91" xr:uid="{00000000-0005-0000-0000-000077000000}"/>
    <cellStyle name="20% - Accent5 2 2 2 2" xfId="453" xr:uid="{00000000-0005-0000-0000-000078000000}"/>
    <cellStyle name="20% - Accent5 2 2 3" xfId="92" xr:uid="{00000000-0005-0000-0000-000079000000}"/>
    <cellStyle name="20% - Accent5 2 2 4" xfId="93" xr:uid="{00000000-0005-0000-0000-00007A000000}"/>
    <cellStyle name="20% - Accent5 2 3" xfId="94" xr:uid="{00000000-0005-0000-0000-00007B000000}"/>
    <cellStyle name="20% - Accent5 2 3 2" xfId="454" xr:uid="{00000000-0005-0000-0000-00007C000000}"/>
    <cellStyle name="20% - Accent5 2 4" xfId="95" xr:uid="{00000000-0005-0000-0000-00007D000000}"/>
    <cellStyle name="20% - Accent5 2 5" xfId="96" xr:uid="{00000000-0005-0000-0000-00007E000000}"/>
    <cellStyle name="20% - Accent5 2 6" xfId="1070" xr:uid="{00000000-0005-0000-0000-00007F000000}"/>
    <cellStyle name="20% - Accent5 3" xfId="1612" xr:uid="{00000000-0005-0000-0000-000080000000}"/>
    <cellStyle name="20% - Accent5 4" xfId="1613" xr:uid="{00000000-0005-0000-0000-000081000000}"/>
    <cellStyle name="20% - Accent5 5" xfId="1614" xr:uid="{00000000-0005-0000-0000-000082000000}"/>
    <cellStyle name="20% - Accent5 5 2" xfId="1615" xr:uid="{00000000-0005-0000-0000-000083000000}"/>
    <cellStyle name="20% - Accent5 5 2 2" xfId="1616" xr:uid="{00000000-0005-0000-0000-000084000000}"/>
    <cellStyle name="20% - Accent5 5 2 3" xfId="1617" xr:uid="{00000000-0005-0000-0000-000085000000}"/>
    <cellStyle name="20% - Accent5 5 3" xfId="1618" xr:uid="{00000000-0005-0000-0000-000086000000}"/>
    <cellStyle name="20% - Accent5 5 4" xfId="1619" xr:uid="{00000000-0005-0000-0000-000087000000}"/>
    <cellStyle name="20% - Accent5 5 5" xfId="1620" xr:uid="{00000000-0005-0000-0000-000088000000}"/>
    <cellStyle name="20% - Accent5 6" xfId="1621" xr:uid="{00000000-0005-0000-0000-000089000000}"/>
    <cellStyle name="20% - Accent5 7" xfId="1622" xr:uid="{00000000-0005-0000-0000-00008A000000}"/>
    <cellStyle name="20% - Accent5 8" xfId="1623" xr:uid="{00000000-0005-0000-0000-00008B000000}"/>
    <cellStyle name="20% - Accent5 9" xfId="1624" xr:uid="{00000000-0005-0000-0000-00008C000000}"/>
    <cellStyle name="20% - Accent6 2" xfId="97" xr:uid="{00000000-0005-0000-0000-00008D000000}"/>
    <cellStyle name="20% - Accent6 2 2" xfId="98" xr:uid="{00000000-0005-0000-0000-00008E000000}"/>
    <cellStyle name="20% - Accent6 2 2 2" xfId="99" xr:uid="{00000000-0005-0000-0000-00008F000000}"/>
    <cellStyle name="20% - Accent6 2 2 2 2" xfId="456" xr:uid="{00000000-0005-0000-0000-000090000000}"/>
    <cellStyle name="20% - Accent6 2 2 3" xfId="455" xr:uid="{00000000-0005-0000-0000-000091000000}"/>
    <cellStyle name="20% - Accent6 2 2 4" xfId="1625" xr:uid="{00000000-0005-0000-0000-000092000000}"/>
    <cellStyle name="20% - Accent6 2 3" xfId="100" xr:uid="{00000000-0005-0000-0000-000093000000}"/>
    <cellStyle name="20% - Accent6 2 3 2" xfId="457" xr:uid="{00000000-0005-0000-0000-000094000000}"/>
    <cellStyle name="20% - Accent6 2 4" xfId="101" xr:uid="{00000000-0005-0000-0000-000095000000}"/>
    <cellStyle name="20% - Accent6 2 5" xfId="1071" xr:uid="{00000000-0005-0000-0000-000096000000}"/>
    <cellStyle name="20% - Accent6 3" xfId="1626" xr:uid="{00000000-0005-0000-0000-000097000000}"/>
    <cellStyle name="20% - Accent6 4" xfId="1627" xr:uid="{00000000-0005-0000-0000-000098000000}"/>
    <cellStyle name="20% - Accent6 5" xfId="1628" xr:uid="{00000000-0005-0000-0000-000099000000}"/>
    <cellStyle name="20% - Accent6 5 2" xfId="1629" xr:uid="{00000000-0005-0000-0000-00009A000000}"/>
    <cellStyle name="20% - Accent6 5 2 2" xfId="1630" xr:uid="{00000000-0005-0000-0000-00009B000000}"/>
    <cellStyle name="20% - Accent6 5 2 3" xfId="1631" xr:uid="{00000000-0005-0000-0000-00009C000000}"/>
    <cellStyle name="20% - Accent6 5 3" xfId="1632" xr:uid="{00000000-0005-0000-0000-00009D000000}"/>
    <cellStyle name="20% - Accent6 5 4" xfId="1633" xr:uid="{00000000-0005-0000-0000-00009E000000}"/>
    <cellStyle name="20% - Accent6 5 5" xfId="1634" xr:uid="{00000000-0005-0000-0000-00009F000000}"/>
    <cellStyle name="20% - Accent6 6" xfId="1635" xr:uid="{00000000-0005-0000-0000-0000A0000000}"/>
    <cellStyle name="20% - Accent6 7" xfId="1636" xr:uid="{00000000-0005-0000-0000-0000A1000000}"/>
    <cellStyle name="20% - Accent6 8" xfId="1637" xr:uid="{00000000-0005-0000-0000-0000A2000000}"/>
    <cellStyle name="20% - Accent6 9" xfId="1638" xr:uid="{00000000-0005-0000-0000-0000A3000000}"/>
    <cellStyle name="40% - Accent1 2" xfId="102" xr:uid="{00000000-0005-0000-0000-0000A4000000}"/>
    <cellStyle name="40% - Accent1 2 2" xfId="103" xr:uid="{00000000-0005-0000-0000-0000A5000000}"/>
    <cellStyle name="40% - Accent1 2 2 2" xfId="104" xr:uid="{00000000-0005-0000-0000-0000A6000000}"/>
    <cellStyle name="40% - Accent1 2 2 2 2" xfId="458" xr:uid="{00000000-0005-0000-0000-0000A7000000}"/>
    <cellStyle name="40% - Accent1 2 2 3" xfId="105" xr:uid="{00000000-0005-0000-0000-0000A8000000}"/>
    <cellStyle name="40% - Accent1 2 2 4" xfId="106" xr:uid="{00000000-0005-0000-0000-0000A9000000}"/>
    <cellStyle name="40% - Accent1 2 3" xfId="107" xr:uid="{00000000-0005-0000-0000-0000AA000000}"/>
    <cellStyle name="40% - Accent1 2 3 2" xfId="459" xr:uid="{00000000-0005-0000-0000-0000AB000000}"/>
    <cellStyle name="40% - Accent1 2 4" xfId="108" xr:uid="{00000000-0005-0000-0000-0000AC000000}"/>
    <cellStyle name="40% - Accent1 2 5" xfId="109" xr:uid="{00000000-0005-0000-0000-0000AD000000}"/>
    <cellStyle name="40% - Accent1 2 6" xfId="1072" xr:uid="{00000000-0005-0000-0000-0000AE000000}"/>
    <cellStyle name="40% - Accent1 3" xfId="1639" xr:uid="{00000000-0005-0000-0000-0000AF000000}"/>
    <cellStyle name="40% - Accent1 4" xfId="1640" xr:uid="{00000000-0005-0000-0000-0000B0000000}"/>
    <cellStyle name="40% - Accent1 5" xfId="1641" xr:uid="{00000000-0005-0000-0000-0000B1000000}"/>
    <cellStyle name="40% - Accent1 5 2" xfId="1642" xr:uid="{00000000-0005-0000-0000-0000B2000000}"/>
    <cellStyle name="40% - Accent1 5 2 2" xfId="1643" xr:uid="{00000000-0005-0000-0000-0000B3000000}"/>
    <cellStyle name="40% - Accent1 5 2 3" xfId="1644" xr:uid="{00000000-0005-0000-0000-0000B4000000}"/>
    <cellStyle name="40% - Accent1 5 3" xfId="1645" xr:uid="{00000000-0005-0000-0000-0000B5000000}"/>
    <cellStyle name="40% - Accent1 5 4" xfId="1646" xr:uid="{00000000-0005-0000-0000-0000B6000000}"/>
    <cellStyle name="40% - Accent1 5 5" xfId="1647" xr:uid="{00000000-0005-0000-0000-0000B7000000}"/>
    <cellStyle name="40% - Accent1 6" xfId="1648" xr:uid="{00000000-0005-0000-0000-0000B8000000}"/>
    <cellStyle name="40% - Accent1 7" xfId="1649" xr:uid="{00000000-0005-0000-0000-0000B9000000}"/>
    <cellStyle name="40% - Accent1 8" xfId="1650" xr:uid="{00000000-0005-0000-0000-0000BA000000}"/>
    <cellStyle name="40% - Accent1 9" xfId="1651" xr:uid="{00000000-0005-0000-0000-0000BB000000}"/>
    <cellStyle name="40% - Accent2 2" xfId="110" xr:uid="{00000000-0005-0000-0000-0000BC000000}"/>
    <cellStyle name="40% - Accent2 2 2" xfId="111" xr:uid="{00000000-0005-0000-0000-0000BD000000}"/>
    <cellStyle name="40% - Accent2 2 2 2" xfId="112" xr:uid="{00000000-0005-0000-0000-0000BE000000}"/>
    <cellStyle name="40% - Accent2 2 2 2 2" xfId="461" xr:uid="{00000000-0005-0000-0000-0000BF000000}"/>
    <cellStyle name="40% - Accent2 2 2 3" xfId="460" xr:uid="{00000000-0005-0000-0000-0000C0000000}"/>
    <cellStyle name="40% - Accent2 2 2 4" xfId="1652" xr:uid="{00000000-0005-0000-0000-0000C1000000}"/>
    <cellStyle name="40% - Accent2 2 3" xfId="113" xr:uid="{00000000-0005-0000-0000-0000C2000000}"/>
    <cellStyle name="40% - Accent2 2 3 2" xfId="462" xr:uid="{00000000-0005-0000-0000-0000C3000000}"/>
    <cellStyle name="40% - Accent2 2 4" xfId="114" xr:uid="{00000000-0005-0000-0000-0000C4000000}"/>
    <cellStyle name="40% - Accent2 2 5" xfId="1073" xr:uid="{00000000-0005-0000-0000-0000C5000000}"/>
    <cellStyle name="40% - Accent2 3" xfId="1653" xr:uid="{00000000-0005-0000-0000-0000C6000000}"/>
    <cellStyle name="40% - Accent2 4" xfId="1654" xr:uid="{00000000-0005-0000-0000-0000C7000000}"/>
    <cellStyle name="40% - Accent2 5" xfId="1655" xr:uid="{00000000-0005-0000-0000-0000C8000000}"/>
    <cellStyle name="40% - Accent2 5 2" xfId="1656" xr:uid="{00000000-0005-0000-0000-0000C9000000}"/>
    <cellStyle name="40% - Accent2 5 2 2" xfId="1657" xr:uid="{00000000-0005-0000-0000-0000CA000000}"/>
    <cellStyle name="40% - Accent2 5 2 3" xfId="1658" xr:uid="{00000000-0005-0000-0000-0000CB000000}"/>
    <cellStyle name="40% - Accent2 5 3" xfId="1659" xr:uid="{00000000-0005-0000-0000-0000CC000000}"/>
    <cellStyle name="40% - Accent2 5 4" xfId="1660" xr:uid="{00000000-0005-0000-0000-0000CD000000}"/>
    <cellStyle name="40% - Accent2 5 5" xfId="1661" xr:uid="{00000000-0005-0000-0000-0000CE000000}"/>
    <cellStyle name="40% - Accent2 6" xfId="1662" xr:uid="{00000000-0005-0000-0000-0000CF000000}"/>
    <cellStyle name="40% - Accent2 7" xfId="1663" xr:uid="{00000000-0005-0000-0000-0000D0000000}"/>
    <cellStyle name="40% - Accent2 8" xfId="1664" xr:uid="{00000000-0005-0000-0000-0000D1000000}"/>
    <cellStyle name="40% - Accent2 9" xfId="1665" xr:uid="{00000000-0005-0000-0000-0000D2000000}"/>
    <cellStyle name="40% - Accent3 2" xfId="115" xr:uid="{00000000-0005-0000-0000-0000D3000000}"/>
    <cellStyle name="40% - Accent3 2 2" xfId="116" xr:uid="{00000000-0005-0000-0000-0000D4000000}"/>
    <cellStyle name="40% - Accent3 2 2 2" xfId="117" xr:uid="{00000000-0005-0000-0000-0000D5000000}"/>
    <cellStyle name="40% - Accent3 2 2 2 2" xfId="463" xr:uid="{00000000-0005-0000-0000-0000D6000000}"/>
    <cellStyle name="40% - Accent3 2 2 3" xfId="118" xr:uid="{00000000-0005-0000-0000-0000D7000000}"/>
    <cellStyle name="40% - Accent3 2 2 4" xfId="119" xr:uid="{00000000-0005-0000-0000-0000D8000000}"/>
    <cellStyle name="40% - Accent3 2 3" xfId="120" xr:uid="{00000000-0005-0000-0000-0000D9000000}"/>
    <cellStyle name="40% - Accent3 2 3 2" xfId="464" xr:uid="{00000000-0005-0000-0000-0000DA000000}"/>
    <cellStyle name="40% - Accent3 2 4" xfId="121" xr:uid="{00000000-0005-0000-0000-0000DB000000}"/>
    <cellStyle name="40% - Accent3 2 5" xfId="122" xr:uid="{00000000-0005-0000-0000-0000DC000000}"/>
    <cellStyle name="40% - Accent3 2 6" xfId="1074" xr:uid="{00000000-0005-0000-0000-0000DD000000}"/>
    <cellStyle name="40% - Accent3 3" xfId="1666" xr:uid="{00000000-0005-0000-0000-0000DE000000}"/>
    <cellStyle name="40% - Accent3 4" xfId="1667" xr:uid="{00000000-0005-0000-0000-0000DF000000}"/>
    <cellStyle name="40% - Accent3 5" xfId="1668" xr:uid="{00000000-0005-0000-0000-0000E0000000}"/>
    <cellStyle name="40% - Accent3 5 2" xfId="1669" xr:uid="{00000000-0005-0000-0000-0000E1000000}"/>
    <cellStyle name="40% - Accent3 5 2 2" xfId="1670" xr:uid="{00000000-0005-0000-0000-0000E2000000}"/>
    <cellStyle name="40% - Accent3 5 2 3" xfId="1671" xr:uid="{00000000-0005-0000-0000-0000E3000000}"/>
    <cellStyle name="40% - Accent3 5 3" xfId="1672" xr:uid="{00000000-0005-0000-0000-0000E4000000}"/>
    <cellStyle name="40% - Accent3 5 4" xfId="1673" xr:uid="{00000000-0005-0000-0000-0000E5000000}"/>
    <cellStyle name="40% - Accent3 5 5" xfId="1674" xr:uid="{00000000-0005-0000-0000-0000E6000000}"/>
    <cellStyle name="40% - Accent3 6" xfId="1675" xr:uid="{00000000-0005-0000-0000-0000E7000000}"/>
    <cellStyle name="40% - Accent3 7" xfId="1676" xr:uid="{00000000-0005-0000-0000-0000E8000000}"/>
    <cellStyle name="40% - Accent3 8" xfId="1677" xr:uid="{00000000-0005-0000-0000-0000E9000000}"/>
    <cellStyle name="40% - Accent3 9" xfId="1678" xr:uid="{00000000-0005-0000-0000-0000EA000000}"/>
    <cellStyle name="40% - Accent4 2" xfId="123" xr:uid="{00000000-0005-0000-0000-0000EB000000}"/>
    <cellStyle name="40% - Accent4 2 2" xfId="124" xr:uid="{00000000-0005-0000-0000-0000EC000000}"/>
    <cellStyle name="40% - Accent4 2 2 2" xfId="125" xr:uid="{00000000-0005-0000-0000-0000ED000000}"/>
    <cellStyle name="40% - Accent4 2 2 2 2" xfId="465" xr:uid="{00000000-0005-0000-0000-0000EE000000}"/>
    <cellStyle name="40% - Accent4 2 2 3" xfId="126" xr:uid="{00000000-0005-0000-0000-0000EF000000}"/>
    <cellStyle name="40% - Accent4 2 2 4" xfId="127" xr:uid="{00000000-0005-0000-0000-0000F0000000}"/>
    <cellStyle name="40% - Accent4 2 3" xfId="128" xr:uid="{00000000-0005-0000-0000-0000F1000000}"/>
    <cellStyle name="40% - Accent4 2 3 2" xfId="466" xr:uid="{00000000-0005-0000-0000-0000F2000000}"/>
    <cellStyle name="40% - Accent4 2 4" xfId="129" xr:uid="{00000000-0005-0000-0000-0000F3000000}"/>
    <cellStyle name="40% - Accent4 2 5" xfId="130" xr:uid="{00000000-0005-0000-0000-0000F4000000}"/>
    <cellStyle name="40% - Accent4 2 6" xfId="1075" xr:uid="{00000000-0005-0000-0000-0000F5000000}"/>
    <cellStyle name="40% - Accent4 3" xfId="1679" xr:uid="{00000000-0005-0000-0000-0000F6000000}"/>
    <cellStyle name="40% - Accent4 4" xfId="1680" xr:uid="{00000000-0005-0000-0000-0000F7000000}"/>
    <cellStyle name="40% - Accent4 5" xfId="1681" xr:uid="{00000000-0005-0000-0000-0000F8000000}"/>
    <cellStyle name="40% - Accent4 5 2" xfId="1682" xr:uid="{00000000-0005-0000-0000-0000F9000000}"/>
    <cellStyle name="40% - Accent4 5 2 2" xfId="1683" xr:uid="{00000000-0005-0000-0000-0000FA000000}"/>
    <cellStyle name="40% - Accent4 5 2 3" xfId="1684" xr:uid="{00000000-0005-0000-0000-0000FB000000}"/>
    <cellStyle name="40% - Accent4 5 3" xfId="1685" xr:uid="{00000000-0005-0000-0000-0000FC000000}"/>
    <cellStyle name="40% - Accent4 5 4" xfId="1686" xr:uid="{00000000-0005-0000-0000-0000FD000000}"/>
    <cellStyle name="40% - Accent4 5 5" xfId="1687" xr:uid="{00000000-0005-0000-0000-0000FE000000}"/>
    <cellStyle name="40% - Accent4 6" xfId="1688" xr:uid="{00000000-0005-0000-0000-0000FF000000}"/>
    <cellStyle name="40% - Accent4 7" xfId="1689" xr:uid="{00000000-0005-0000-0000-000000010000}"/>
    <cellStyle name="40% - Accent4 8" xfId="1690" xr:uid="{00000000-0005-0000-0000-000001010000}"/>
    <cellStyle name="40% - Accent4 9" xfId="1691" xr:uid="{00000000-0005-0000-0000-000002010000}"/>
    <cellStyle name="40% - Accent5 2" xfId="131" xr:uid="{00000000-0005-0000-0000-000003010000}"/>
    <cellStyle name="40% - Accent5 2 2" xfId="132" xr:uid="{00000000-0005-0000-0000-000004010000}"/>
    <cellStyle name="40% - Accent5 2 2 2" xfId="133" xr:uid="{00000000-0005-0000-0000-000005010000}"/>
    <cellStyle name="40% - Accent5 2 2 2 2" xfId="468" xr:uid="{00000000-0005-0000-0000-000006010000}"/>
    <cellStyle name="40% - Accent5 2 2 3" xfId="467" xr:uid="{00000000-0005-0000-0000-000007010000}"/>
    <cellStyle name="40% - Accent5 2 2 4" xfId="1692" xr:uid="{00000000-0005-0000-0000-000008010000}"/>
    <cellStyle name="40% - Accent5 2 3" xfId="134" xr:uid="{00000000-0005-0000-0000-000009010000}"/>
    <cellStyle name="40% - Accent5 2 3 2" xfId="469" xr:uid="{00000000-0005-0000-0000-00000A010000}"/>
    <cellStyle name="40% - Accent5 2 4" xfId="135" xr:uid="{00000000-0005-0000-0000-00000B010000}"/>
    <cellStyle name="40% - Accent5 2 5" xfId="1076" xr:uid="{00000000-0005-0000-0000-00000C010000}"/>
    <cellStyle name="40% - Accent5 3" xfId="1693" xr:uid="{00000000-0005-0000-0000-00000D010000}"/>
    <cellStyle name="40% - Accent5 4" xfId="1694" xr:uid="{00000000-0005-0000-0000-00000E010000}"/>
    <cellStyle name="40% - Accent5 5" xfId="1695" xr:uid="{00000000-0005-0000-0000-00000F010000}"/>
    <cellStyle name="40% - Accent5 5 2" xfId="1696" xr:uid="{00000000-0005-0000-0000-000010010000}"/>
    <cellStyle name="40% - Accent5 5 2 2" xfId="1697" xr:uid="{00000000-0005-0000-0000-000011010000}"/>
    <cellStyle name="40% - Accent5 5 2 3" xfId="1698" xr:uid="{00000000-0005-0000-0000-000012010000}"/>
    <cellStyle name="40% - Accent5 5 3" xfId="1699" xr:uid="{00000000-0005-0000-0000-000013010000}"/>
    <cellStyle name="40% - Accent5 5 4" xfId="1700" xr:uid="{00000000-0005-0000-0000-000014010000}"/>
    <cellStyle name="40% - Accent5 5 5" xfId="1701" xr:uid="{00000000-0005-0000-0000-000015010000}"/>
    <cellStyle name="40% - Accent5 6" xfId="1702" xr:uid="{00000000-0005-0000-0000-000016010000}"/>
    <cellStyle name="40% - Accent5 7" xfId="1703" xr:uid="{00000000-0005-0000-0000-000017010000}"/>
    <cellStyle name="40% - Accent5 8" xfId="1704" xr:uid="{00000000-0005-0000-0000-000018010000}"/>
    <cellStyle name="40% - Accent5 9" xfId="1705" xr:uid="{00000000-0005-0000-0000-000019010000}"/>
    <cellStyle name="40% - Accent6 2" xfId="136" xr:uid="{00000000-0005-0000-0000-00001A010000}"/>
    <cellStyle name="40% - Accent6 2 2" xfId="137" xr:uid="{00000000-0005-0000-0000-00001B010000}"/>
    <cellStyle name="40% - Accent6 2 2 2" xfId="138" xr:uid="{00000000-0005-0000-0000-00001C010000}"/>
    <cellStyle name="40% - Accent6 2 2 2 2" xfId="470" xr:uid="{00000000-0005-0000-0000-00001D010000}"/>
    <cellStyle name="40% - Accent6 2 2 3" xfId="139" xr:uid="{00000000-0005-0000-0000-00001E010000}"/>
    <cellStyle name="40% - Accent6 2 2 4" xfId="140" xr:uid="{00000000-0005-0000-0000-00001F010000}"/>
    <cellStyle name="40% - Accent6 2 3" xfId="141" xr:uid="{00000000-0005-0000-0000-000020010000}"/>
    <cellStyle name="40% - Accent6 2 3 2" xfId="471" xr:uid="{00000000-0005-0000-0000-000021010000}"/>
    <cellStyle name="40% - Accent6 2 4" xfId="142" xr:uid="{00000000-0005-0000-0000-000022010000}"/>
    <cellStyle name="40% - Accent6 2 5" xfId="143" xr:uid="{00000000-0005-0000-0000-000023010000}"/>
    <cellStyle name="40% - Accent6 2 6" xfId="1077" xr:uid="{00000000-0005-0000-0000-000024010000}"/>
    <cellStyle name="40% - Accent6 3" xfId="1706" xr:uid="{00000000-0005-0000-0000-000025010000}"/>
    <cellStyle name="40% - Accent6 4" xfId="1707" xr:uid="{00000000-0005-0000-0000-000026010000}"/>
    <cellStyle name="40% - Accent6 5" xfId="1708" xr:uid="{00000000-0005-0000-0000-000027010000}"/>
    <cellStyle name="40% - Accent6 5 2" xfId="1709" xr:uid="{00000000-0005-0000-0000-000028010000}"/>
    <cellStyle name="40% - Accent6 5 2 2" xfId="1710" xr:uid="{00000000-0005-0000-0000-000029010000}"/>
    <cellStyle name="40% - Accent6 5 2 3" xfId="1711" xr:uid="{00000000-0005-0000-0000-00002A010000}"/>
    <cellStyle name="40% - Accent6 5 3" xfId="1712" xr:uid="{00000000-0005-0000-0000-00002B010000}"/>
    <cellStyle name="40% - Accent6 5 4" xfId="1713" xr:uid="{00000000-0005-0000-0000-00002C010000}"/>
    <cellStyle name="40% - Accent6 5 5" xfId="1714" xr:uid="{00000000-0005-0000-0000-00002D010000}"/>
    <cellStyle name="40% - Accent6 6" xfId="1715" xr:uid="{00000000-0005-0000-0000-00002E010000}"/>
    <cellStyle name="40% - Accent6 7" xfId="1716" xr:uid="{00000000-0005-0000-0000-00002F010000}"/>
    <cellStyle name="40% - Accent6 8" xfId="1717" xr:uid="{00000000-0005-0000-0000-000030010000}"/>
    <cellStyle name="40% - Accent6 9" xfId="1718" xr:uid="{00000000-0005-0000-0000-000031010000}"/>
    <cellStyle name="60% - Accent1 2" xfId="144" xr:uid="{00000000-0005-0000-0000-000032010000}"/>
    <cellStyle name="60% - Accent1 2 2" xfId="145" xr:uid="{00000000-0005-0000-0000-000033010000}"/>
    <cellStyle name="60% - Accent1 2 3" xfId="146" xr:uid="{00000000-0005-0000-0000-000034010000}"/>
    <cellStyle name="60% - Accent1 2 4" xfId="147" xr:uid="{00000000-0005-0000-0000-000035010000}"/>
    <cellStyle name="60% - Accent1 2 5" xfId="1078" xr:uid="{00000000-0005-0000-0000-000036010000}"/>
    <cellStyle name="60% - Accent1 3" xfId="1719" xr:uid="{00000000-0005-0000-0000-000037010000}"/>
    <cellStyle name="60% - Accent1 4" xfId="1720" xr:uid="{00000000-0005-0000-0000-000038010000}"/>
    <cellStyle name="60% - Accent1 5" xfId="1721" xr:uid="{00000000-0005-0000-0000-000039010000}"/>
    <cellStyle name="60% - Accent1 6" xfId="1722" xr:uid="{00000000-0005-0000-0000-00003A010000}"/>
    <cellStyle name="60% - Accent1 7" xfId="1723" xr:uid="{00000000-0005-0000-0000-00003B010000}"/>
    <cellStyle name="60% - Accent1 8" xfId="1724" xr:uid="{00000000-0005-0000-0000-00003C010000}"/>
    <cellStyle name="60% - Accent1 9" xfId="1725" xr:uid="{00000000-0005-0000-0000-00003D010000}"/>
    <cellStyle name="60% - Accent2 2" xfId="148" xr:uid="{00000000-0005-0000-0000-00003E010000}"/>
    <cellStyle name="60% - Accent2 2 2" xfId="149" xr:uid="{00000000-0005-0000-0000-00003F010000}"/>
    <cellStyle name="60% - Accent2 2 2 2" xfId="1726" xr:uid="{00000000-0005-0000-0000-000040010000}"/>
    <cellStyle name="60% - Accent2 2 3" xfId="150" xr:uid="{00000000-0005-0000-0000-000041010000}"/>
    <cellStyle name="60% - Accent2 2 4" xfId="1079" xr:uid="{00000000-0005-0000-0000-000042010000}"/>
    <cellStyle name="60% - Accent2 3" xfId="1727" xr:uid="{00000000-0005-0000-0000-000043010000}"/>
    <cellStyle name="60% - Accent2 4" xfId="1728" xr:uid="{00000000-0005-0000-0000-000044010000}"/>
    <cellStyle name="60% - Accent2 5" xfId="1729" xr:uid="{00000000-0005-0000-0000-000045010000}"/>
    <cellStyle name="60% - Accent2 6" xfId="1730" xr:uid="{00000000-0005-0000-0000-000046010000}"/>
    <cellStyle name="60% - Accent2 7" xfId="1731" xr:uid="{00000000-0005-0000-0000-000047010000}"/>
    <cellStyle name="60% - Accent2 8" xfId="1732" xr:uid="{00000000-0005-0000-0000-000048010000}"/>
    <cellStyle name="60% - Accent2 9" xfId="1733" xr:uid="{00000000-0005-0000-0000-000049010000}"/>
    <cellStyle name="60% - Accent3 2" xfId="151" xr:uid="{00000000-0005-0000-0000-00004A010000}"/>
    <cellStyle name="60% - Accent3 2 2" xfId="152" xr:uid="{00000000-0005-0000-0000-00004B010000}"/>
    <cellStyle name="60% - Accent3 2 3" xfId="153" xr:uid="{00000000-0005-0000-0000-00004C010000}"/>
    <cellStyle name="60% - Accent3 2 4" xfId="154" xr:uid="{00000000-0005-0000-0000-00004D010000}"/>
    <cellStyle name="60% - Accent3 2 5" xfId="1080" xr:uid="{00000000-0005-0000-0000-00004E010000}"/>
    <cellStyle name="60% - Accent3 3" xfId="1734" xr:uid="{00000000-0005-0000-0000-00004F010000}"/>
    <cellStyle name="60% - Accent3 4" xfId="1735" xr:uid="{00000000-0005-0000-0000-000050010000}"/>
    <cellStyle name="60% - Accent3 5" xfId="1736" xr:uid="{00000000-0005-0000-0000-000051010000}"/>
    <cellStyle name="60% - Accent3 6" xfId="1737" xr:uid="{00000000-0005-0000-0000-000052010000}"/>
    <cellStyle name="60% - Accent3 7" xfId="1738" xr:uid="{00000000-0005-0000-0000-000053010000}"/>
    <cellStyle name="60% - Accent3 8" xfId="1739" xr:uid="{00000000-0005-0000-0000-000054010000}"/>
    <cellStyle name="60% - Accent3 9" xfId="1740" xr:uid="{00000000-0005-0000-0000-000055010000}"/>
    <cellStyle name="60% - Accent4 2" xfId="155" xr:uid="{00000000-0005-0000-0000-000056010000}"/>
    <cellStyle name="60% - Accent4 2 2" xfId="156" xr:uid="{00000000-0005-0000-0000-000057010000}"/>
    <cellStyle name="60% - Accent4 2 3" xfId="157" xr:uid="{00000000-0005-0000-0000-000058010000}"/>
    <cellStyle name="60% - Accent4 2 4" xfId="158" xr:uid="{00000000-0005-0000-0000-000059010000}"/>
    <cellStyle name="60% - Accent4 2 5" xfId="1081" xr:uid="{00000000-0005-0000-0000-00005A010000}"/>
    <cellStyle name="60% - Accent4 3" xfId="1741" xr:uid="{00000000-0005-0000-0000-00005B010000}"/>
    <cellStyle name="60% - Accent4 4" xfId="1742" xr:uid="{00000000-0005-0000-0000-00005C010000}"/>
    <cellStyle name="60% - Accent4 5" xfId="1743" xr:uid="{00000000-0005-0000-0000-00005D010000}"/>
    <cellStyle name="60% - Accent4 6" xfId="1744" xr:uid="{00000000-0005-0000-0000-00005E010000}"/>
    <cellStyle name="60% - Accent4 7" xfId="1745" xr:uid="{00000000-0005-0000-0000-00005F010000}"/>
    <cellStyle name="60% - Accent4 8" xfId="1746" xr:uid="{00000000-0005-0000-0000-000060010000}"/>
    <cellStyle name="60% - Accent4 9" xfId="1747" xr:uid="{00000000-0005-0000-0000-000061010000}"/>
    <cellStyle name="60% - Accent5 2" xfId="159" xr:uid="{00000000-0005-0000-0000-000062010000}"/>
    <cellStyle name="60% - Accent5 2 2" xfId="160" xr:uid="{00000000-0005-0000-0000-000063010000}"/>
    <cellStyle name="60% - Accent5 2 2 2" xfId="1748" xr:uid="{00000000-0005-0000-0000-000064010000}"/>
    <cellStyle name="60% - Accent5 2 3" xfId="161" xr:uid="{00000000-0005-0000-0000-000065010000}"/>
    <cellStyle name="60% - Accent5 2 4" xfId="1082" xr:uid="{00000000-0005-0000-0000-000066010000}"/>
    <cellStyle name="60% - Accent5 3" xfId="1749" xr:uid="{00000000-0005-0000-0000-000067010000}"/>
    <cellStyle name="60% - Accent5 4" xfId="1750" xr:uid="{00000000-0005-0000-0000-000068010000}"/>
    <cellStyle name="60% - Accent5 5" xfId="1751" xr:uid="{00000000-0005-0000-0000-000069010000}"/>
    <cellStyle name="60% - Accent5 6" xfId="1752" xr:uid="{00000000-0005-0000-0000-00006A010000}"/>
    <cellStyle name="60% - Accent5 7" xfId="1753" xr:uid="{00000000-0005-0000-0000-00006B010000}"/>
    <cellStyle name="60% - Accent5 8" xfId="1754" xr:uid="{00000000-0005-0000-0000-00006C010000}"/>
    <cellStyle name="60% - Accent5 9" xfId="1755" xr:uid="{00000000-0005-0000-0000-00006D010000}"/>
    <cellStyle name="60% - Accent6 2" xfId="162" xr:uid="{00000000-0005-0000-0000-00006E010000}"/>
    <cellStyle name="60% - Accent6 2 2" xfId="163" xr:uid="{00000000-0005-0000-0000-00006F010000}"/>
    <cellStyle name="60% - Accent6 2 3" xfId="164" xr:uid="{00000000-0005-0000-0000-000070010000}"/>
    <cellStyle name="60% - Accent6 2 4" xfId="165" xr:uid="{00000000-0005-0000-0000-000071010000}"/>
    <cellStyle name="60% - Accent6 2 5" xfId="1083" xr:uid="{00000000-0005-0000-0000-000072010000}"/>
    <cellStyle name="60% - Accent6 3" xfId="1756" xr:uid="{00000000-0005-0000-0000-000073010000}"/>
    <cellStyle name="60% - Accent6 4" xfId="1757" xr:uid="{00000000-0005-0000-0000-000074010000}"/>
    <cellStyle name="60% - Accent6 5" xfId="1758" xr:uid="{00000000-0005-0000-0000-000075010000}"/>
    <cellStyle name="60% - Accent6 6" xfId="1759" xr:uid="{00000000-0005-0000-0000-000076010000}"/>
    <cellStyle name="60% - Accent6 7" xfId="1760" xr:uid="{00000000-0005-0000-0000-000077010000}"/>
    <cellStyle name="60% - Accent6 8" xfId="1761" xr:uid="{00000000-0005-0000-0000-000078010000}"/>
    <cellStyle name="60% - Accent6 9" xfId="1762" xr:uid="{00000000-0005-0000-0000-000079010000}"/>
    <cellStyle name="A3 297 x 420 mm" xfId="1" xr:uid="{00000000-0005-0000-0000-00007A010000}"/>
    <cellStyle name="A3 297 x 420 mm 2" xfId="20" xr:uid="{00000000-0005-0000-0000-00007B010000}"/>
    <cellStyle name="A3 297 x 420 mm 2 2" xfId="35" xr:uid="{00000000-0005-0000-0000-00007C010000}"/>
    <cellStyle name="Accent1 2" xfId="166" xr:uid="{00000000-0005-0000-0000-00007D010000}"/>
    <cellStyle name="Accent1 2 2" xfId="167" xr:uid="{00000000-0005-0000-0000-00007E010000}"/>
    <cellStyle name="Accent1 2 3" xfId="168" xr:uid="{00000000-0005-0000-0000-00007F010000}"/>
    <cellStyle name="Accent1 2 4" xfId="169" xr:uid="{00000000-0005-0000-0000-000080010000}"/>
    <cellStyle name="Accent1 2 5" xfId="1084" xr:uid="{00000000-0005-0000-0000-000081010000}"/>
    <cellStyle name="Accent1 3" xfId="1763" xr:uid="{00000000-0005-0000-0000-000082010000}"/>
    <cellStyle name="Accent1 4" xfId="1764" xr:uid="{00000000-0005-0000-0000-000083010000}"/>
    <cellStyle name="Accent1 5" xfId="1765" xr:uid="{00000000-0005-0000-0000-000084010000}"/>
    <cellStyle name="Accent1 6" xfId="1766" xr:uid="{00000000-0005-0000-0000-000085010000}"/>
    <cellStyle name="Accent1 7" xfId="1767" xr:uid="{00000000-0005-0000-0000-000086010000}"/>
    <cellStyle name="Accent1 8" xfId="1768" xr:uid="{00000000-0005-0000-0000-000087010000}"/>
    <cellStyle name="Accent1 9" xfId="1769" xr:uid="{00000000-0005-0000-0000-000088010000}"/>
    <cellStyle name="Accent2 2" xfId="170" xr:uid="{00000000-0005-0000-0000-000089010000}"/>
    <cellStyle name="Accent2 2 2" xfId="171" xr:uid="{00000000-0005-0000-0000-00008A010000}"/>
    <cellStyle name="Accent2 2 2 2" xfId="1770" xr:uid="{00000000-0005-0000-0000-00008B010000}"/>
    <cellStyle name="Accent2 2 3" xfId="172" xr:uid="{00000000-0005-0000-0000-00008C010000}"/>
    <cellStyle name="Accent2 2 4" xfId="1085" xr:uid="{00000000-0005-0000-0000-00008D010000}"/>
    <cellStyle name="Accent2 3" xfId="1771" xr:uid="{00000000-0005-0000-0000-00008E010000}"/>
    <cellStyle name="Accent2 4" xfId="1772" xr:uid="{00000000-0005-0000-0000-00008F010000}"/>
    <cellStyle name="Accent2 5" xfId="1773" xr:uid="{00000000-0005-0000-0000-000090010000}"/>
    <cellStyle name="Accent2 6" xfId="1774" xr:uid="{00000000-0005-0000-0000-000091010000}"/>
    <cellStyle name="Accent2 7" xfId="1775" xr:uid="{00000000-0005-0000-0000-000092010000}"/>
    <cellStyle name="Accent2 8" xfId="1776" xr:uid="{00000000-0005-0000-0000-000093010000}"/>
    <cellStyle name="Accent2 9" xfId="1777" xr:uid="{00000000-0005-0000-0000-000094010000}"/>
    <cellStyle name="Accent3 2" xfId="173" xr:uid="{00000000-0005-0000-0000-000095010000}"/>
    <cellStyle name="Accent3 2 2" xfId="174" xr:uid="{00000000-0005-0000-0000-000096010000}"/>
    <cellStyle name="Accent3 2 2 2" xfId="1778" xr:uid="{00000000-0005-0000-0000-000097010000}"/>
    <cellStyle name="Accent3 2 3" xfId="175" xr:uid="{00000000-0005-0000-0000-000098010000}"/>
    <cellStyle name="Accent3 2 4" xfId="1086" xr:uid="{00000000-0005-0000-0000-000099010000}"/>
    <cellStyle name="Accent3 3" xfId="1779" xr:uid="{00000000-0005-0000-0000-00009A010000}"/>
    <cellStyle name="Accent3 4" xfId="1780" xr:uid="{00000000-0005-0000-0000-00009B010000}"/>
    <cellStyle name="Accent3 5" xfId="1781" xr:uid="{00000000-0005-0000-0000-00009C010000}"/>
    <cellStyle name="Accent3 6" xfId="1782" xr:uid="{00000000-0005-0000-0000-00009D010000}"/>
    <cellStyle name="Accent3 7" xfId="1783" xr:uid="{00000000-0005-0000-0000-00009E010000}"/>
    <cellStyle name="Accent3 8" xfId="1784" xr:uid="{00000000-0005-0000-0000-00009F010000}"/>
    <cellStyle name="Accent3 9" xfId="1785" xr:uid="{00000000-0005-0000-0000-0000A0010000}"/>
    <cellStyle name="Accent4 2" xfId="176" xr:uid="{00000000-0005-0000-0000-0000A1010000}"/>
    <cellStyle name="Accent4 2 2" xfId="177" xr:uid="{00000000-0005-0000-0000-0000A2010000}"/>
    <cellStyle name="Accent4 2 3" xfId="178" xr:uid="{00000000-0005-0000-0000-0000A3010000}"/>
    <cellStyle name="Accent4 2 4" xfId="179" xr:uid="{00000000-0005-0000-0000-0000A4010000}"/>
    <cellStyle name="Accent4 2 5" xfId="1087" xr:uid="{00000000-0005-0000-0000-0000A5010000}"/>
    <cellStyle name="Accent4 3" xfId="1786" xr:uid="{00000000-0005-0000-0000-0000A6010000}"/>
    <cellStyle name="Accent4 4" xfId="1787" xr:uid="{00000000-0005-0000-0000-0000A7010000}"/>
    <cellStyle name="Accent4 5" xfId="1788" xr:uid="{00000000-0005-0000-0000-0000A8010000}"/>
    <cellStyle name="Accent4 6" xfId="1789" xr:uid="{00000000-0005-0000-0000-0000A9010000}"/>
    <cellStyle name="Accent4 7" xfId="1790" xr:uid="{00000000-0005-0000-0000-0000AA010000}"/>
    <cellStyle name="Accent4 8" xfId="1791" xr:uid="{00000000-0005-0000-0000-0000AB010000}"/>
    <cellStyle name="Accent4 9" xfId="1792" xr:uid="{00000000-0005-0000-0000-0000AC010000}"/>
    <cellStyle name="Accent5 2" xfId="180" xr:uid="{00000000-0005-0000-0000-0000AD010000}"/>
    <cellStyle name="Accent5 2 2" xfId="181" xr:uid="{00000000-0005-0000-0000-0000AE010000}"/>
    <cellStyle name="Accent5 2 2 2" xfId="1793" xr:uid="{00000000-0005-0000-0000-0000AF010000}"/>
    <cellStyle name="Accent5 2 3" xfId="182" xr:uid="{00000000-0005-0000-0000-0000B0010000}"/>
    <cellStyle name="Accent5 2 4" xfId="1088" xr:uid="{00000000-0005-0000-0000-0000B1010000}"/>
    <cellStyle name="Accent5 3" xfId="1794" xr:uid="{00000000-0005-0000-0000-0000B2010000}"/>
    <cellStyle name="Accent5 4" xfId="1795" xr:uid="{00000000-0005-0000-0000-0000B3010000}"/>
    <cellStyle name="Accent5 5" xfId="1796" xr:uid="{00000000-0005-0000-0000-0000B4010000}"/>
    <cellStyle name="Accent5 6" xfId="1797" xr:uid="{00000000-0005-0000-0000-0000B5010000}"/>
    <cellStyle name="Accent5 7" xfId="1798" xr:uid="{00000000-0005-0000-0000-0000B6010000}"/>
    <cellStyle name="Accent5 8" xfId="1799" xr:uid="{00000000-0005-0000-0000-0000B7010000}"/>
    <cellStyle name="Accent5 9" xfId="1800" xr:uid="{00000000-0005-0000-0000-0000B8010000}"/>
    <cellStyle name="Accent6 2" xfId="183" xr:uid="{00000000-0005-0000-0000-0000B9010000}"/>
    <cellStyle name="Accent6 2 2" xfId="184" xr:uid="{00000000-0005-0000-0000-0000BA010000}"/>
    <cellStyle name="Accent6 2 2 2" xfId="1801" xr:uid="{00000000-0005-0000-0000-0000BB010000}"/>
    <cellStyle name="Accent6 2 3" xfId="185" xr:uid="{00000000-0005-0000-0000-0000BC010000}"/>
    <cellStyle name="Accent6 2 4" xfId="1089" xr:uid="{00000000-0005-0000-0000-0000BD010000}"/>
    <cellStyle name="Accent6 3" xfId="1802" xr:uid="{00000000-0005-0000-0000-0000BE010000}"/>
    <cellStyle name="Accent6 4" xfId="1803" xr:uid="{00000000-0005-0000-0000-0000BF010000}"/>
    <cellStyle name="Accent6 5" xfId="1804" xr:uid="{00000000-0005-0000-0000-0000C0010000}"/>
    <cellStyle name="Accent6 6" xfId="1805" xr:uid="{00000000-0005-0000-0000-0000C1010000}"/>
    <cellStyle name="Accent6 7" xfId="1806" xr:uid="{00000000-0005-0000-0000-0000C2010000}"/>
    <cellStyle name="Accent6 8" xfId="1807" xr:uid="{00000000-0005-0000-0000-0000C3010000}"/>
    <cellStyle name="Accent6 9" xfId="1808" xr:uid="{00000000-0005-0000-0000-0000C4010000}"/>
    <cellStyle name="Bad 2" xfId="186" xr:uid="{00000000-0005-0000-0000-0000C5010000}"/>
    <cellStyle name="Bad 2 2" xfId="187" xr:uid="{00000000-0005-0000-0000-0000C6010000}"/>
    <cellStyle name="Bad 2 2 2" xfId="1809" xr:uid="{00000000-0005-0000-0000-0000C7010000}"/>
    <cellStyle name="Bad 2 3" xfId="188" xr:uid="{00000000-0005-0000-0000-0000C8010000}"/>
    <cellStyle name="Bad 2 4" xfId="1090" xr:uid="{00000000-0005-0000-0000-0000C9010000}"/>
    <cellStyle name="Bad 3" xfId="1810" xr:uid="{00000000-0005-0000-0000-0000CA010000}"/>
    <cellStyle name="Bad 4" xfId="1811" xr:uid="{00000000-0005-0000-0000-0000CB010000}"/>
    <cellStyle name="Bad 5" xfId="1812" xr:uid="{00000000-0005-0000-0000-0000CC010000}"/>
    <cellStyle name="Bad 6" xfId="1813" xr:uid="{00000000-0005-0000-0000-0000CD010000}"/>
    <cellStyle name="Bad 7" xfId="1814" xr:uid="{00000000-0005-0000-0000-0000CE010000}"/>
    <cellStyle name="Bad 8" xfId="1815" xr:uid="{00000000-0005-0000-0000-0000CF010000}"/>
    <cellStyle name="Bad 9" xfId="1816" xr:uid="{00000000-0005-0000-0000-0000D0010000}"/>
    <cellStyle name="Basic" xfId="574" xr:uid="{00000000-0005-0000-0000-0000D1010000}"/>
    <cellStyle name="black" xfId="575" xr:uid="{00000000-0005-0000-0000-0000D2010000}"/>
    <cellStyle name="blu" xfId="576" xr:uid="{00000000-0005-0000-0000-0000D3010000}"/>
    <cellStyle name="bot" xfId="577" xr:uid="{00000000-0005-0000-0000-0000D4010000}"/>
    <cellStyle name="Bullet" xfId="578" xr:uid="{00000000-0005-0000-0000-0000D5010000}"/>
    <cellStyle name="Bullet [0]" xfId="579" xr:uid="{00000000-0005-0000-0000-0000D6010000}"/>
    <cellStyle name="Bullet [2]" xfId="580" xr:uid="{00000000-0005-0000-0000-0000D7010000}"/>
    <cellStyle name="Bullet [4]" xfId="581" xr:uid="{00000000-0005-0000-0000-0000D8010000}"/>
    <cellStyle name="c" xfId="582" xr:uid="{00000000-0005-0000-0000-0000D9010000}"/>
    <cellStyle name="c," xfId="583" xr:uid="{00000000-0005-0000-0000-0000DA010000}"/>
    <cellStyle name="c_HardInc " xfId="584" xr:uid="{00000000-0005-0000-0000-0000DB010000}"/>
    <cellStyle name="c_HardInc _ITC Great Plains Formula 1-12-09a" xfId="585" xr:uid="{00000000-0005-0000-0000-0000DC010000}"/>
    <cellStyle name="C00A" xfId="586" xr:uid="{00000000-0005-0000-0000-0000DD010000}"/>
    <cellStyle name="C00B" xfId="587" xr:uid="{00000000-0005-0000-0000-0000DE010000}"/>
    <cellStyle name="C00L" xfId="588" xr:uid="{00000000-0005-0000-0000-0000DF010000}"/>
    <cellStyle name="C01A" xfId="589" xr:uid="{00000000-0005-0000-0000-0000E0010000}"/>
    <cellStyle name="C01B" xfId="590" xr:uid="{00000000-0005-0000-0000-0000E1010000}"/>
    <cellStyle name="C01H" xfId="591" xr:uid="{00000000-0005-0000-0000-0000E2010000}"/>
    <cellStyle name="C01L" xfId="592" xr:uid="{00000000-0005-0000-0000-0000E3010000}"/>
    <cellStyle name="C02A" xfId="593" xr:uid="{00000000-0005-0000-0000-0000E4010000}"/>
    <cellStyle name="C02B" xfId="594" xr:uid="{00000000-0005-0000-0000-0000E5010000}"/>
    <cellStyle name="C02H" xfId="595" xr:uid="{00000000-0005-0000-0000-0000E6010000}"/>
    <cellStyle name="C02L" xfId="596" xr:uid="{00000000-0005-0000-0000-0000E7010000}"/>
    <cellStyle name="C03A" xfId="597" xr:uid="{00000000-0005-0000-0000-0000E8010000}"/>
    <cellStyle name="C03B" xfId="598" xr:uid="{00000000-0005-0000-0000-0000E9010000}"/>
    <cellStyle name="C03H" xfId="599" xr:uid="{00000000-0005-0000-0000-0000EA010000}"/>
    <cellStyle name="C03L" xfId="600" xr:uid="{00000000-0005-0000-0000-0000EB010000}"/>
    <cellStyle name="C04A" xfId="601" xr:uid="{00000000-0005-0000-0000-0000EC010000}"/>
    <cellStyle name="C04B" xfId="602" xr:uid="{00000000-0005-0000-0000-0000ED010000}"/>
    <cellStyle name="C04H" xfId="603" xr:uid="{00000000-0005-0000-0000-0000EE010000}"/>
    <cellStyle name="C04L" xfId="604" xr:uid="{00000000-0005-0000-0000-0000EF010000}"/>
    <cellStyle name="C05A" xfId="605" xr:uid="{00000000-0005-0000-0000-0000F0010000}"/>
    <cellStyle name="C05B" xfId="606" xr:uid="{00000000-0005-0000-0000-0000F1010000}"/>
    <cellStyle name="C05H" xfId="607" xr:uid="{00000000-0005-0000-0000-0000F2010000}"/>
    <cellStyle name="C05L" xfId="608" xr:uid="{00000000-0005-0000-0000-0000F3010000}"/>
    <cellStyle name="C05L 2" xfId="609" xr:uid="{00000000-0005-0000-0000-0000F4010000}"/>
    <cellStyle name="C06A" xfId="610" xr:uid="{00000000-0005-0000-0000-0000F5010000}"/>
    <cellStyle name="C06B" xfId="611" xr:uid="{00000000-0005-0000-0000-0000F6010000}"/>
    <cellStyle name="C06H" xfId="612" xr:uid="{00000000-0005-0000-0000-0000F7010000}"/>
    <cellStyle name="C06L" xfId="613" xr:uid="{00000000-0005-0000-0000-0000F8010000}"/>
    <cellStyle name="C07A" xfId="614" xr:uid="{00000000-0005-0000-0000-0000F9010000}"/>
    <cellStyle name="C07B" xfId="615" xr:uid="{00000000-0005-0000-0000-0000FA010000}"/>
    <cellStyle name="C07H" xfId="616" xr:uid="{00000000-0005-0000-0000-0000FB010000}"/>
    <cellStyle name="C07L" xfId="617" xr:uid="{00000000-0005-0000-0000-0000FC010000}"/>
    <cellStyle name="c1" xfId="618" xr:uid="{00000000-0005-0000-0000-0000FD010000}"/>
    <cellStyle name="c1," xfId="619" xr:uid="{00000000-0005-0000-0000-0000FE010000}"/>
    <cellStyle name="c2" xfId="620" xr:uid="{00000000-0005-0000-0000-0000FF010000}"/>
    <cellStyle name="c2," xfId="621" xr:uid="{00000000-0005-0000-0000-000000020000}"/>
    <cellStyle name="c3" xfId="622" xr:uid="{00000000-0005-0000-0000-000001020000}"/>
    <cellStyle name="Calculation 2" xfId="189" xr:uid="{00000000-0005-0000-0000-000002020000}"/>
    <cellStyle name="Calculation 2 2" xfId="190" xr:uid="{00000000-0005-0000-0000-000003020000}"/>
    <cellStyle name="Calculation 2 3" xfId="191" xr:uid="{00000000-0005-0000-0000-000004020000}"/>
    <cellStyle name="Calculation 2 4" xfId="192" xr:uid="{00000000-0005-0000-0000-000005020000}"/>
    <cellStyle name="Calculation 2 5" xfId="1091" xr:uid="{00000000-0005-0000-0000-000006020000}"/>
    <cellStyle name="Calculation 3" xfId="1817" xr:uid="{00000000-0005-0000-0000-000007020000}"/>
    <cellStyle name="Calculation 4" xfId="1818" xr:uid="{00000000-0005-0000-0000-000008020000}"/>
    <cellStyle name="Calculation 5" xfId="1819" xr:uid="{00000000-0005-0000-0000-000009020000}"/>
    <cellStyle name="Calculation 6" xfId="1820" xr:uid="{00000000-0005-0000-0000-00000A020000}"/>
    <cellStyle name="Calculation 7" xfId="1821" xr:uid="{00000000-0005-0000-0000-00000B020000}"/>
    <cellStyle name="Calculation 8" xfId="1822" xr:uid="{00000000-0005-0000-0000-00000C020000}"/>
    <cellStyle name="Calculation 9" xfId="1823" xr:uid="{00000000-0005-0000-0000-00000D020000}"/>
    <cellStyle name="cas" xfId="623" xr:uid="{00000000-0005-0000-0000-00000E020000}"/>
    <cellStyle name="Centered Heading" xfId="624" xr:uid="{00000000-0005-0000-0000-00000F020000}"/>
    <cellStyle name="Check Cell 2" xfId="193" xr:uid="{00000000-0005-0000-0000-000010020000}"/>
    <cellStyle name="Check Cell 2 2" xfId="194" xr:uid="{00000000-0005-0000-0000-000011020000}"/>
    <cellStyle name="Check Cell 2 2 2" xfId="1824" xr:uid="{00000000-0005-0000-0000-000012020000}"/>
    <cellStyle name="Check Cell 2 3" xfId="195" xr:uid="{00000000-0005-0000-0000-000013020000}"/>
    <cellStyle name="Check Cell 2 4" xfId="1092" xr:uid="{00000000-0005-0000-0000-000014020000}"/>
    <cellStyle name="Check Cell 3" xfId="1825" xr:uid="{00000000-0005-0000-0000-000015020000}"/>
    <cellStyle name="Check Cell 4" xfId="1826" xr:uid="{00000000-0005-0000-0000-000016020000}"/>
    <cellStyle name="Check Cell 5" xfId="1827" xr:uid="{00000000-0005-0000-0000-000017020000}"/>
    <cellStyle name="Check Cell 6" xfId="1828" xr:uid="{00000000-0005-0000-0000-000018020000}"/>
    <cellStyle name="Check Cell 7" xfId="1829" xr:uid="{00000000-0005-0000-0000-000019020000}"/>
    <cellStyle name="Check Cell 8" xfId="1830" xr:uid="{00000000-0005-0000-0000-00001A020000}"/>
    <cellStyle name="Check Cell 9" xfId="1831" xr:uid="{00000000-0005-0000-0000-00001B020000}"/>
    <cellStyle name="Comma" xfId="2" builtinId="3"/>
    <cellStyle name="Comma  - Style1" xfId="625" xr:uid="{00000000-0005-0000-0000-00001D020000}"/>
    <cellStyle name="Comma  - Style2" xfId="626" xr:uid="{00000000-0005-0000-0000-00001E020000}"/>
    <cellStyle name="Comma  - Style3" xfId="627" xr:uid="{00000000-0005-0000-0000-00001F020000}"/>
    <cellStyle name="Comma  - Style4" xfId="628" xr:uid="{00000000-0005-0000-0000-000020020000}"/>
    <cellStyle name="Comma  - Style5" xfId="629" xr:uid="{00000000-0005-0000-0000-000021020000}"/>
    <cellStyle name="Comma  - Style6" xfId="630" xr:uid="{00000000-0005-0000-0000-000022020000}"/>
    <cellStyle name="Comma  - Style7" xfId="631" xr:uid="{00000000-0005-0000-0000-000023020000}"/>
    <cellStyle name="Comma  - Style8" xfId="632" xr:uid="{00000000-0005-0000-0000-000024020000}"/>
    <cellStyle name="Comma [0]" xfId="3" builtinId="6"/>
    <cellStyle name="Comma [0] 2" xfId="36" xr:uid="{00000000-0005-0000-0000-000026020000}"/>
    <cellStyle name="Comma [0] 2 2" xfId="542" xr:uid="{00000000-0005-0000-0000-000027020000}"/>
    <cellStyle name="Comma [0] 3 2" xfId="549" xr:uid="{00000000-0005-0000-0000-000028020000}"/>
    <cellStyle name="Comma [1]" xfId="633" xr:uid="{00000000-0005-0000-0000-000029020000}"/>
    <cellStyle name="Comma [2]" xfId="634" xr:uid="{00000000-0005-0000-0000-00002A020000}"/>
    <cellStyle name="Comma [3]" xfId="635" xr:uid="{00000000-0005-0000-0000-00002B020000}"/>
    <cellStyle name="Comma 0.0" xfId="636" xr:uid="{00000000-0005-0000-0000-00002C020000}"/>
    <cellStyle name="Comma 0.00" xfId="637" xr:uid="{00000000-0005-0000-0000-00002D020000}"/>
    <cellStyle name="Comma 0.000" xfId="638" xr:uid="{00000000-0005-0000-0000-00002E020000}"/>
    <cellStyle name="Comma 0.0000" xfId="639" xr:uid="{00000000-0005-0000-0000-00002F020000}"/>
    <cellStyle name="Comma 10" xfId="196" xr:uid="{00000000-0005-0000-0000-000030020000}"/>
    <cellStyle name="Comma 10 2" xfId="29" xr:uid="{00000000-0005-0000-0000-000031020000}"/>
    <cellStyle name="Comma 10 2 2" xfId="436" xr:uid="{00000000-0005-0000-0000-000032020000}"/>
    <cellStyle name="Comma 10 2 2 2" xfId="1832" xr:uid="{00000000-0005-0000-0000-000033020000}"/>
    <cellStyle name="Comma 10 3" xfId="472" xr:uid="{00000000-0005-0000-0000-000034020000}"/>
    <cellStyle name="Comma 10 3 2" xfId="1833" xr:uid="{00000000-0005-0000-0000-000035020000}"/>
    <cellStyle name="Comma 11" xfId="37" xr:uid="{00000000-0005-0000-0000-000036020000}"/>
    <cellStyle name="Comma 11 2" xfId="197" xr:uid="{00000000-0005-0000-0000-000037020000}"/>
    <cellStyle name="Comma 11 3" xfId="640" xr:uid="{00000000-0005-0000-0000-000038020000}"/>
    <cellStyle name="Comma 12" xfId="198" xr:uid="{00000000-0005-0000-0000-000039020000}"/>
    <cellStyle name="Comma 12 2" xfId="199" xr:uid="{00000000-0005-0000-0000-00003A020000}"/>
    <cellStyle name="Comma 12 2 2" xfId="10293" xr:uid="{00000000-0005-0000-0000-00003B020000}"/>
    <cellStyle name="Comma 12 2 3" xfId="1559" xr:uid="{00000000-0005-0000-0000-00003C020000}"/>
    <cellStyle name="Comma 13" xfId="200" xr:uid="{00000000-0005-0000-0000-00003D020000}"/>
    <cellStyle name="Comma 13 2" xfId="201" xr:uid="{00000000-0005-0000-0000-00003E020000}"/>
    <cellStyle name="Comma 13 2 2" xfId="1835" xr:uid="{00000000-0005-0000-0000-00003F020000}"/>
    <cellStyle name="Comma 13 2 3" xfId="1836" xr:uid="{00000000-0005-0000-0000-000040020000}"/>
    <cellStyle name="Comma 13 2 4" xfId="1834" xr:uid="{00000000-0005-0000-0000-000041020000}"/>
    <cellStyle name="Comma 13 3" xfId="1837" xr:uid="{00000000-0005-0000-0000-000042020000}"/>
    <cellStyle name="Comma 13 4" xfId="1838" xr:uid="{00000000-0005-0000-0000-000043020000}"/>
    <cellStyle name="Comma 13 5" xfId="1839" xr:uid="{00000000-0005-0000-0000-000044020000}"/>
    <cellStyle name="Comma 14" xfId="415" xr:uid="{00000000-0005-0000-0000-000045020000}"/>
    <cellStyle name="Comma 14 2" xfId="505" xr:uid="{00000000-0005-0000-0000-000046020000}"/>
    <cellStyle name="Comma 14 3" xfId="1063" xr:uid="{00000000-0005-0000-0000-000047020000}"/>
    <cellStyle name="Comma 15" xfId="417" xr:uid="{00000000-0005-0000-0000-000048020000}"/>
    <cellStyle name="Comma 15 2" xfId="507" xr:uid="{00000000-0005-0000-0000-000049020000}"/>
    <cellStyle name="Comma 15 3" xfId="1062" xr:uid="{00000000-0005-0000-0000-00004A020000}"/>
    <cellStyle name="Comma 16" xfId="419" xr:uid="{00000000-0005-0000-0000-00004B020000}"/>
    <cellStyle name="Comma 16 2" xfId="509" xr:uid="{00000000-0005-0000-0000-00004C020000}"/>
    <cellStyle name="Comma 16 3" xfId="1061" xr:uid="{00000000-0005-0000-0000-00004D020000}"/>
    <cellStyle name="Comma 17" xfId="526" xr:uid="{00000000-0005-0000-0000-00004E020000}"/>
    <cellStyle name="Comma 17 2" xfId="1060" xr:uid="{00000000-0005-0000-0000-00004F020000}"/>
    <cellStyle name="Comma 18" xfId="562" xr:uid="{00000000-0005-0000-0000-000050020000}"/>
    <cellStyle name="Comma 18 2" xfId="1059" xr:uid="{00000000-0005-0000-0000-000051020000}"/>
    <cellStyle name="Comma 19" xfId="561" xr:uid="{00000000-0005-0000-0000-000052020000}"/>
    <cellStyle name="Comma 19 2" xfId="1058" xr:uid="{00000000-0005-0000-0000-000053020000}"/>
    <cellStyle name="Comma 2" xfId="4" xr:uid="{00000000-0005-0000-0000-000054020000}"/>
    <cellStyle name="Comma 2 10" xfId="545" xr:uid="{00000000-0005-0000-0000-000055020000}"/>
    <cellStyle name="Comma 2 2" xfId="202" xr:uid="{00000000-0005-0000-0000-000056020000}"/>
    <cellStyle name="Comma 2 2 2" xfId="203" xr:uid="{00000000-0005-0000-0000-000057020000}"/>
    <cellStyle name="Comma 2 2 2 2" xfId="204" xr:uid="{00000000-0005-0000-0000-000058020000}"/>
    <cellStyle name="Comma 2 2 2 3" xfId="473" xr:uid="{00000000-0005-0000-0000-000059020000}"/>
    <cellStyle name="Comma 2 2 2 4" xfId="536" xr:uid="{00000000-0005-0000-0000-00005A020000}"/>
    <cellStyle name="Comma 2 2 3" xfId="205" xr:uid="{00000000-0005-0000-0000-00005B020000}"/>
    <cellStyle name="Comma 2 2 3 2" xfId="474" xr:uid="{00000000-0005-0000-0000-00005C020000}"/>
    <cellStyle name="Comma 2 2 4" xfId="206" xr:uid="{00000000-0005-0000-0000-00005D020000}"/>
    <cellStyle name="Comma 2 2 5" xfId="529" xr:uid="{00000000-0005-0000-0000-00005E020000}"/>
    <cellStyle name="Comma 2 2 6" xfId="641" xr:uid="{00000000-0005-0000-0000-00005F020000}"/>
    <cellStyle name="Comma 2 3" xfId="26" xr:uid="{00000000-0005-0000-0000-000060020000}"/>
    <cellStyle name="Comma 2 3 2" xfId="25" xr:uid="{00000000-0005-0000-0000-000061020000}"/>
    <cellStyle name="Comma 2 3 3" xfId="42" xr:uid="{00000000-0005-0000-0000-000062020000}"/>
    <cellStyle name="Comma 2 3 4" xfId="554" xr:uid="{00000000-0005-0000-0000-000063020000}"/>
    <cellStyle name="Comma 2 4" xfId="207" xr:uid="{00000000-0005-0000-0000-000064020000}"/>
    <cellStyle name="Comma 2 4 2" xfId="1099" xr:uid="{00000000-0005-0000-0000-000065020000}"/>
    <cellStyle name="Comma 2 5" xfId="208" xr:uid="{00000000-0005-0000-0000-000066020000}"/>
    <cellStyle name="Comma 2 5 2" xfId="209" xr:uid="{00000000-0005-0000-0000-000067020000}"/>
    <cellStyle name="Comma 2 6" xfId="210" xr:uid="{00000000-0005-0000-0000-000068020000}"/>
    <cellStyle name="Comma 2 6 2" xfId="475" xr:uid="{00000000-0005-0000-0000-000069020000}"/>
    <cellStyle name="Comma 2 7" xfId="211" xr:uid="{00000000-0005-0000-0000-00006A020000}"/>
    <cellStyle name="Comma 2_TPIS Report_April_2013" xfId="212" xr:uid="{00000000-0005-0000-0000-00006B020000}"/>
    <cellStyle name="Comma 20" xfId="564" xr:uid="{00000000-0005-0000-0000-00006C020000}"/>
    <cellStyle name="Comma 20 2" xfId="1057" xr:uid="{00000000-0005-0000-0000-00006D020000}"/>
    <cellStyle name="Comma 21" xfId="1056" xr:uid="{00000000-0005-0000-0000-00006E020000}"/>
    <cellStyle name="Comma 22" xfId="1055" xr:uid="{00000000-0005-0000-0000-00006F020000}"/>
    <cellStyle name="Comma 23" xfId="1054" xr:uid="{00000000-0005-0000-0000-000070020000}"/>
    <cellStyle name="Comma 24" xfId="1053" xr:uid="{00000000-0005-0000-0000-000071020000}"/>
    <cellStyle name="Comma 25" xfId="1052" xr:uid="{00000000-0005-0000-0000-000072020000}"/>
    <cellStyle name="Comma 26" xfId="1051" xr:uid="{00000000-0005-0000-0000-000073020000}"/>
    <cellStyle name="Comma 27" xfId="1050" xr:uid="{00000000-0005-0000-0000-000074020000}"/>
    <cellStyle name="Comma 28" xfId="1049" xr:uid="{00000000-0005-0000-0000-000075020000}"/>
    <cellStyle name="Comma 29" xfId="1048" xr:uid="{00000000-0005-0000-0000-000076020000}"/>
    <cellStyle name="Comma 3" xfId="21" xr:uid="{00000000-0005-0000-0000-000077020000}"/>
    <cellStyle name="Comma 3 2" xfId="213" xr:uid="{00000000-0005-0000-0000-000078020000}"/>
    <cellStyle name="Comma 3 2 2" xfId="214" xr:uid="{00000000-0005-0000-0000-000079020000}"/>
    <cellStyle name="Comma 3 2 2 2" xfId="1105" xr:uid="{00000000-0005-0000-0000-00007A020000}"/>
    <cellStyle name="Comma 3 2 2 2 2" xfId="1229" xr:uid="{00000000-0005-0000-0000-00007B020000}"/>
    <cellStyle name="Comma 3 2 2 2 2 2" xfId="1455" xr:uid="{00000000-0005-0000-0000-00007C020000}"/>
    <cellStyle name="Comma 3 2 2 2 2 2 2" xfId="10189" xr:uid="{00000000-0005-0000-0000-00007D020000}"/>
    <cellStyle name="Comma 3 2 2 2 2 3" xfId="9973" xr:uid="{00000000-0005-0000-0000-00007E020000}"/>
    <cellStyle name="Comma 3 2 2 2 3" xfId="1311" xr:uid="{00000000-0005-0000-0000-00007F020000}"/>
    <cellStyle name="Comma 3 2 2 2 3 2" xfId="1527" xr:uid="{00000000-0005-0000-0000-000080020000}"/>
    <cellStyle name="Comma 3 2 2 2 3 2 2" xfId="10261" xr:uid="{00000000-0005-0000-0000-000081020000}"/>
    <cellStyle name="Comma 3 2 2 2 3 3" xfId="10045" xr:uid="{00000000-0005-0000-0000-000082020000}"/>
    <cellStyle name="Comma 3 2 2 2 4" xfId="1383" xr:uid="{00000000-0005-0000-0000-000083020000}"/>
    <cellStyle name="Comma 3 2 2 2 4 2" xfId="10117" xr:uid="{00000000-0005-0000-0000-000084020000}"/>
    <cellStyle name="Comma 3 2 2 2 5" xfId="9901" xr:uid="{00000000-0005-0000-0000-000085020000}"/>
    <cellStyle name="Comma 3 2 2 3" xfId="1128" xr:uid="{00000000-0005-0000-0000-000086020000}"/>
    <cellStyle name="Comma 3 2 2 3 2" xfId="1235" xr:uid="{00000000-0005-0000-0000-000087020000}"/>
    <cellStyle name="Comma 3 2 2 3 2 2" xfId="1461" xr:uid="{00000000-0005-0000-0000-000088020000}"/>
    <cellStyle name="Comma 3 2 2 3 2 2 2" xfId="10195" xr:uid="{00000000-0005-0000-0000-000089020000}"/>
    <cellStyle name="Comma 3 2 2 3 2 3" xfId="9979" xr:uid="{00000000-0005-0000-0000-00008A020000}"/>
    <cellStyle name="Comma 3 2 2 3 3" xfId="1317" xr:uid="{00000000-0005-0000-0000-00008B020000}"/>
    <cellStyle name="Comma 3 2 2 3 3 2" xfId="1533" xr:uid="{00000000-0005-0000-0000-00008C020000}"/>
    <cellStyle name="Comma 3 2 2 3 3 2 2" xfId="10267" xr:uid="{00000000-0005-0000-0000-00008D020000}"/>
    <cellStyle name="Comma 3 2 2 3 3 3" xfId="10051" xr:uid="{00000000-0005-0000-0000-00008E020000}"/>
    <cellStyle name="Comma 3 2 2 3 4" xfId="1389" xr:uid="{00000000-0005-0000-0000-00008F020000}"/>
    <cellStyle name="Comma 3 2 2 3 4 2" xfId="10123" xr:uid="{00000000-0005-0000-0000-000090020000}"/>
    <cellStyle name="Comma 3 2 2 3 5" xfId="9907" xr:uid="{00000000-0005-0000-0000-000091020000}"/>
    <cellStyle name="Comma 3 2 2 4" xfId="1164" xr:uid="{00000000-0005-0000-0000-000092020000}"/>
    <cellStyle name="Comma 3 2 2 4 2" xfId="1264" xr:uid="{00000000-0005-0000-0000-000093020000}"/>
    <cellStyle name="Comma 3 2 2 4 2 2" xfId="1480" xr:uid="{00000000-0005-0000-0000-000094020000}"/>
    <cellStyle name="Comma 3 2 2 4 2 2 2" xfId="10214" xr:uid="{00000000-0005-0000-0000-000095020000}"/>
    <cellStyle name="Comma 3 2 2 4 2 3" xfId="9998" xr:uid="{00000000-0005-0000-0000-000096020000}"/>
    <cellStyle name="Comma 3 2 2 4 3" xfId="1336" xr:uid="{00000000-0005-0000-0000-000097020000}"/>
    <cellStyle name="Comma 3 2 2 4 3 2" xfId="1552" xr:uid="{00000000-0005-0000-0000-000098020000}"/>
    <cellStyle name="Comma 3 2 2 4 3 2 2" xfId="10286" xr:uid="{00000000-0005-0000-0000-000099020000}"/>
    <cellStyle name="Comma 3 2 2 4 3 3" xfId="10070" xr:uid="{00000000-0005-0000-0000-00009A020000}"/>
    <cellStyle name="Comma 3 2 2 4 4" xfId="1408" xr:uid="{00000000-0005-0000-0000-00009B020000}"/>
    <cellStyle name="Comma 3 2 2 4 4 2" xfId="10142" xr:uid="{00000000-0005-0000-0000-00009C020000}"/>
    <cellStyle name="Comma 3 2 2 4 5" xfId="9926" xr:uid="{00000000-0005-0000-0000-00009D020000}"/>
    <cellStyle name="Comma 3 2 2 5" xfId="1228" xr:uid="{00000000-0005-0000-0000-00009E020000}"/>
    <cellStyle name="Comma 3 2 2 5 2" xfId="1454" xr:uid="{00000000-0005-0000-0000-00009F020000}"/>
    <cellStyle name="Comma 3 2 2 5 2 2" xfId="10188" xr:uid="{00000000-0005-0000-0000-0000A0020000}"/>
    <cellStyle name="Comma 3 2 2 5 3" xfId="9972" xr:uid="{00000000-0005-0000-0000-0000A1020000}"/>
    <cellStyle name="Comma 3 2 2 6" xfId="1310" xr:uid="{00000000-0005-0000-0000-0000A2020000}"/>
    <cellStyle name="Comma 3 2 2 6 2" xfId="1526" xr:uid="{00000000-0005-0000-0000-0000A3020000}"/>
    <cellStyle name="Comma 3 2 2 6 2 2" xfId="10260" xr:uid="{00000000-0005-0000-0000-0000A4020000}"/>
    <cellStyle name="Comma 3 2 2 6 3" xfId="10044" xr:uid="{00000000-0005-0000-0000-0000A5020000}"/>
    <cellStyle name="Comma 3 2 2 7" xfId="1382" xr:uid="{00000000-0005-0000-0000-0000A6020000}"/>
    <cellStyle name="Comma 3 2 2 7 2" xfId="10116" xr:uid="{00000000-0005-0000-0000-0000A7020000}"/>
    <cellStyle name="Comma 3 2 2 8" xfId="9900" xr:uid="{00000000-0005-0000-0000-0000A8020000}"/>
    <cellStyle name="Comma 3 2 2 9" xfId="1047" xr:uid="{00000000-0005-0000-0000-0000A9020000}"/>
    <cellStyle name="Comma 3 2 3" xfId="215" xr:uid="{00000000-0005-0000-0000-0000AA020000}"/>
    <cellStyle name="Comma 3 3" xfId="27" xr:uid="{00000000-0005-0000-0000-0000AB020000}"/>
    <cellStyle name="Comma 3 4" xfId="216" xr:uid="{00000000-0005-0000-0000-0000AC020000}"/>
    <cellStyle name="Comma 3 4 2" xfId="1094" xr:uid="{00000000-0005-0000-0000-0000AD020000}"/>
    <cellStyle name="Comma 3 5" xfId="532" xr:uid="{00000000-0005-0000-0000-0000AE020000}"/>
    <cellStyle name="Comma 3 5 2" xfId="1243" xr:uid="{00000000-0005-0000-0000-0000AF020000}"/>
    <cellStyle name="Comma 3 5 3" xfId="1139" xr:uid="{00000000-0005-0000-0000-0000B0020000}"/>
    <cellStyle name="Comma 30" xfId="1046" xr:uid="{00000000-0005-0000-0000-0000B1020000}"/>
    <cellStyle name="Comma 31" xfId="1045" xr:uid="{00000000-0005-0000-0000-0000B2020000}"/>
    <cellStyle name="Comma 32" xfId="1044" xr:uid="{00000000-0005-0000-0000-0000B3020000}"/>
    <cellStyle name="Comma 33" xfId="1043" xr:uid="{00000000-0005-0000-0000-0000B4020000}"/>
    <cellStyle name="Comma 34" xfId="1042" xr:uid="{00000000-0005-0000-0000-0000B5020000}"/>
    <cellStyle name="Comma 35" xfId="1041" xr:uid="{00000000-0005-0000-0000-0000B6020000}"/>
    <cellStyle name="Comma 36" xfId="1040" xr:uid="{00000000-0005-0000-0000-0000B7020000}"/>
    <cellStyle name="Comma 37" xfId="1039" xr:uid="{00000000-0005-0000-0000-0000B8020000}"/>
    <cellStyle name="Comma 38" xfId="1038" xr:uid="{00000000-0005-0000-0000-0000B9020000}"/>
    <cellStyle name="Comma 39" xfId="1037" xr:uid="{00000000-0005-0000-0000-0000BA020000}"/>
    <cellStyle name="Comma 4" xfId="23" xr:uid="{00000000-0005-0000-0000-0000BB020000}"/>
    <cellStyle name="Comma 4 2" xfId="217" xr:uid="{00000000-0005-0000-0000-0000BC020000}"/>
    <cellStyle name="Comma 4 2 2" xfId="218" xr:uid="{00000000-0005-0000-0000-0000BD020000}"/>
    <cellStyle name="Comma 4 2 3" xfId="553" xr:uid="{00000000-0005-0000-0000-0000BE020000}"/>
    <cellStyle name="Comma 4 2 4" xfId="1036" xr:uid="{00000000-0005-0000-0000-0000BF020000}"/>
    <cellStyle name="Comma 4 3" xfId="219" xr:uid="{00000000-0005-0000-0000-0000C0020000}"/>
    <cellStyle name="Comma 4 3 2" xfId="1108" xr:uid="{00000000-0005-0000-0000-0000C1020000}"/>
    <cellStyle name="Comma 4 3 2 2" xfId="1230" xr:uid="{00000000-0005-0000-0000-0000C2020000}"/>
    <cellStyle name="Comma 4 3 2 2 2" xfId="1456" xr:uid="{00000000-0005-0000-0000-0000C3020000}"/>
    <cellStyle name="Comma 4 3 2 2 2 2" xfId="10190" xr:uid="{00000000-0005-0000-0000-0000C4020000}"/>
    <cellStyle name="Comma 4 3 2 2 3" xfId="9974" xr:uid="{00000000-0005-0000-0000-0000C5020000}"/>
    <cellStyle name="Comma 4 3 2 3" xfId="1312" xr:uid="{00000000-0005-0000-0000-0000C6020000}"/>
    <cellStyle name="Comma 4 3 2 3 2" xfId="1528" xr:uid="{00000000-0005-0000-0000-0000C7020000}"/>
    <cellStyle name="Comma 4 3 2 3 2 2" xfId="10262" xr:uid="{00000000-0005-0000-0000-0000C8020000}"/>
    <cellStyle name="Comma 4 3 2 3 3" xfId="10046" xr:uid="{00000000-0005-0000-0000-0000C9020000}"/>
    <cellStyle name="Comma 4 3 2 4" xfId="1384" xr:uid="{00000000-0005-0000-0000-0000CA020000}"/>
    <cellStyle name="Comma 4 3 2 4 2" xfId="10118" xr:uid="{00000000-0005-0000-0000-0000CB020000}"/>
    <cellStyle name="Comma 4 3 2 5" xfId="9902" xr:uid="{00000000-0005-0000-0000-0000CC020000}"/>
    <cellStyle name="Comma 4 3 3" xfId="1129" xr:uid="{00000000-0005-0000-0000-0000CD020000}"/>
    <cellStyle name="Comma 4 3 3 2" xfId="1236" xr:uid="{00000000-0005-0000-0000-0000CE020000}"/>
    <cellStyle name="Comma 4 3 3 2 2" xfId="1462" xr:uid="{00000000-0005-0000-0000-0000CF020000}"/>
    <cellStyle name="Comma 4 3 3 2 2 2" xfId="10196" xr:uid="{00000000-0005-0000-0000-0000D0020000}"/>
    <cellStyle name="Comma 4 3 3 2 3" xfId="9980" xr:uid="{00000000-0005-0000-0000-0000D1020000}"/>
    <cellStyle name="Comma 4 3 3 3" xfId="1318" xr:uid="{00000000-0005-0000-0000-0000D2020000}"/>
    <cellStyle name="Comma 4 3 3 3 2" xfId="1534" xr:uid="{00000000-0005-0000-0000-0000D3020000}"/>
    <cellStyle name="Comma 4 3 3 3 2 2" xfId="10268" xr:uid="{00000000-0005-0000-0000-0000D4020000}"/>
    <cellStyle name="Comma 4 3 3 3 3" xfId="10052" xr:uid="{00000000-0005-0000-0000-0000D5020000}"/>
    <cellStyle name="Comma 4 3 3 4" xfId="1390" xr:uid="{00000000-0005-0000-0000-0000D6020000}"/>
    <cellStyle name="Comma 4 3 3 4 2" xfId="10124" xr:uid="{00000000-0005-0000-0000-0000D7020000}"/>
    <cellStyle name="Comma 4 3 3 5" xfId="9908" xr:uid="{00000000-0005-0000-0000-0000D8020000}"/>
    <cellStyle name="Comma 4 3 4" xfId="1167" xr:uid="{00000000-0005-0000-0000-0000D9020000}"/>
    <cellStyle name="Comma 4 3 4 2" xfId="1265" xr:uid="{00000000-0005-0000-0000-0000DA020000}"/>
    <cellStyle name="Comma 4 3 4 2 2" xfId="1481" xr:uid="{00000000-0005-0000-0000-0000DB020000}"/>
    <cellStyle name="Comma 4 3 4 2 2 2" xfId="10215" xr:uid="{00000000-0005-0000-0000-0000DC020000}"/>
    <cellStyle name="Comma 4 3 4 2 3" xfId="9999" xr:uid="{00000000-0005-0000-0000-0000DD020000}"/>
    <cellStyle name="Comma 4 3 4 3" xfId="1337" xr:uid="{00000000-0005-0000-0000-0000DE020000}"/>
    <cellStyle name="Comma 4 3 4 3 2" xfId="1553" xr:uid="{00000000-0005-0000-0000-0000DF020000}"/>
    <cellStyle name="Comma 4 3 4 3 2 2" xfId="10287" xr:uid="{00000000-0005-0000-0000-0000E0020000}"/>
    <cellStyle name="Comma 4 3 4 3 3" xfId="10071" xr:uid="{00000000-0005-0000-0000-0000E1020000}"/>
    <cellStyle name="Comma 4 3 4 4" xfId="1409" xr:uid="{00000000-0005-0000-0000-0000E2020000}"/>
    <cellStyle name="Comma 4 3 4 4 2" xfId="10143" xr:uid="{00000000-0005-0000-0000-0000E3020000}"/>
    <cellStyle name="Comma 4 3 4 5" xfId="9927" xr:uid="{00000000-0005-0000-0000-0000E4020000}"/>
    <cellStyle name="Comma 4 3 5" xfId="1227" xr:uid="{00000000-0005-0000-0000-0000E5020000}"/>
    <cellStyle name="Comma 4 3 5 2" xfId="1453" xr:uid="{00000000-0005-0000-0000-0000E6020000}"/>
    <cellStyle name="Comma 4 3 5 2 2" xfId="10187" xr:uid="{00000000-0005-0000-0000-0000E7020000}"/>
    <cellStyle name="Comma 4 3 5 3" xfId="9971" xr:uid="{00000000-0005-0000-0000-0000E8020000}"/>
    <cellStyle name="Comma 4 3 6" xfId="1309" xr:uid="{00000000-0005-0000-0000-0000E9020000}"/>
    <cellStyle name="Comma 4 3 6 2" xfId="1525" xr:uid="{00000000-0005-0000-0000-0000EA020000}"/>
    <cellStyle name="Comma 4 3 6 2 2" xfId="10259" xr:uid="{00000000-0005-0000-0000-0000EB020000}"/>
    <cellStyle name="Comma 4 3 6 3" xfId="10043" xr:uid="{00000000-0005-0000-0000-0000EC020000}"/>
    <cellStyle name="Comma 4 3 7" xfId="1381" xr:uid="{00000000-0005-0000-0000-0000ED020000}"/>
    <cellStyle name="Comma 4 3 7 2" xfId="10115" xr:uid="{00000000-0005-0000-0000-0000EE020000}"/>
    <cellStyle name="Comma 4 3 8" xfId="9899" xr:uid="{00000000-0005-0000-0000-0000EF020000}"/>
    <cellStyle name="Comma 4 3 9" xfId="1035" xr:uid="{00000000-0005-0000-0000-0000F0020000}"/>
    <cellStyle name="Comma 4 4" xfId="220" xr:uid="{00000000-0005-0000-0000-0000F1020000}"/>
    <cellStyle name="Comma 4 4 2" xfId="1840" xr:uid="{00000000-0005-0000-0000-0000F2020000}"/>
    <cellStyle name="Comma 4 5" xfId="548" xr:uid="{00000000-0005-0000-0000-0000F3020000}"/>
    <cellStyle name="Comma 40" xfId="1034" xr:uid="{00000000-0005-0000-0000-0000F4020000}"/>
    <cellStyle name="Comma 41" xfId="1033" xr:uid="{00000000-0005-0000-0000-0000F5020000}"/>
    <cellStyle name="Comma 42" xfId="1032" xr:uid="{00000000-0005-0000-0000-0000F6020000}"/>
    <cellStyle name="Comma 43" xfId="1031" xr:uid="{00000000-0005-0000-0000-0000F7020000}"/>
    <cellStyle name="Comma 44" xfId="1030" xr:uid="{00000000-0005-0000-0000-0000F8020000}"/>
    <cellStyle name="Comma 45" xfId="1029" xr:uid="{00000000-0005-0000-0000-0000F9020000}"/>
    <cellStyle name="Comma 46" xfId="1028" xr:uid="{00000000-0005-0000-0000-0000FA020000}"/>
    <cellStyle name="Comma 47" xfId="1027" xr:uid="{00000000-0005-0000-0000-0000FB020000}"/>
    <cellStyle name="Comma 48" xfId="1026" xr:uid="{00000000-0005-0000-0000-0000FC020000}"/>
    <cellStyle name="Comma 49" xfId="1025" xr:uid="{00000000-0005-0000-0000-0000FD020000}"/>
    <cellStyle name="Comma 5" xfId="32" xr:uid="{00000000-0005-0000-0000-0000FE020000}"/>
    <cellStyle name="Comma 5 10" xfId="433" xr:uid="{00000000-0005-0000-0000-0000FF020000}"/>
    <cellStyle name="Comma 5 10 2" xfId="518" xr:uid="{00000000-0005-0000-0000-000000030000}"/>
    <cellStyle name="Comma 5 11" xfId="440" xr:uid="{00000000-0005-0000-0000-000001030000}"/>
    <cellStyle name="Comma 5 2" xfId="221" xr:uid="{00000000-0005-0000-0000-000002030000}"/>
    <cellStyle name="Comma 5 2 2" xfId="222" xr:uid="{00000000-0005-0000-0000-000003030000}"/>
    <cellStyle name="Comma 5 2 3" xfId="223" xr:uid="{00000000-0005-0000-0000-000004030000}"/>
    <cellStyle name="Comma 5 2 3 2" xfId="224" xr:uid="{00000000-0005-0000-0000-000005030000}"/>
    <cellStyle name="Comma 5 2 4" xfId="225" xr:uid="{00000000-0005-0000-0000-000006030000}"/>
    <cellStyle name="Comma 5 2 4 2" xfId="476" xr:uid="{00000000-0005-0000-0000-000007030000}"/>
    <cellStyle name="Comma 5 2 5" xfId="226" xr:uid="{00000000-0005-0000-0000-000008030000}"/>
    <cellStyle name="Comma 5 2 6" xfId="1841" xr:uid="{00000000-0005-0000-0000-000009030000}"/>
    <cellStyle name="Comma 5 3" xfId="227" xr:uid="{00000000-0005-0000-0000-00000A030000}"/>
    <cellStyle name="Comma 5 3 2" xfId="228" xr:uid="{00000000-0005-0000-0000-00000B030000}"/>
    <cellStyle name="Comma 5 3 2 2" xfId="229" xr:uid="{00000000-0005-0000-0000-00000C030000}"/>
    <cellStyle name="Comma 5 3 2 3" xfId="477" xr:uid="{00000000-0005-0000-0000-00000D030000}"/>
    <cellStyle name="Comma 5 3 3" xfId="230" xr:uid="{00000000-0005-0000-0000-00000E030000}"/>
    <cellStyle name="Comma 5 3 3 2" xfId="478" xr:uid="{00000000-0005-0000-0000-00000F030000}"/>
    <cellStyle name="Comma 5 3 4" xfId="231" xr:uid="{00000000-0005-0000-0000-000010030000}"/>
    <cellStyle name="Comma 5 3 5" xfId="1842" xr:uid="{00000000-0005-0000-0000-000011030000}"/>
    <cellStyle name="Comma 5 4" xfId="232" xr:uid="{00000000-0005-0000-0000-000012030000}"/>
    <cellStyle name="Comma 5 4 2" xfId="1843" xr:uid="{00000000-0005-0000-0000-000013030000}"/>
    <cellStyle name="Comma 5 5" xfId="233" xr:uid="{00000000-0005-0000-0000-000014030000}"/>
    <cellStyle name="Comma 5 5 2" xfId="234" xr:uid="{00000000-0005-0000-0000-000015030000}"/>
    <cellStyle name="Comma 5 5 3" xfId="479" xr:uid="{00000000-0005-0000-0000-000016030000}"/>
    <cellStyle name="Comma 5 6" xfId="235" xr:uid="{00000000-0005-0000-0000-000017030000}"/>
    <cellStyle name="Comma 5 6 2" xfId="480" xr:uid="{00000000-0005-0000-0000-000018030000}"/>
    <cellStyle name="Comma 5 7" xfId="236" xr:uid="{00000000-0005-0000-0000-000019030000}"/>
    <cellStyle name="Comma 5 8" xfId="411" xr:uid="{00000000-0005-0000-0000-00001A030000}"/>
    <cellStyle name="Comma 5 8 2" xfId="501" xr:uid="{00000000-0005-0000-0000-00001B030000}"/>
    <cellStyle name="Comma 5 9" xfId="427" xr:uid="{00000000-0005-0000-0000-00001C030000}"/>
    <cellStyle name="Comma 5 9 2" xfId="513" xr:uid="{00000000-0005-0000-0000-00001D030000}"/>
    <cellStyle name="Comma 50" xfId="1024" xr:uid="{00000000-0005-0000-0000-00001E030000}"/>
    <cellStyle name="Comma 51" xfId="1023" xr:uid="{00000000-0005-0000-0000-00001F030000}"/>
    <cellStyle name="Comma 52" xfId="1022" xr:uid="{00000000-0005-0000-0000-000020030000}"/>
    <cellStyle name="Comma 53" xfId="1021" xr:uid="{00000000-0005-0000-0000-000021030000}"/>
    <cellStyle name="Comma 54" xfId="1020" xr:uid="{00000000-0005-0000-0000-000022030000}"/>
    <cellStyle name="Comma 55" xfId="1019" xr:uid="{00000000-0005-0000-0000-000023030000}"/>
    <cellStyle name="Comma 56" xfId="1018" xr:uid="{00000000-0005-0000-0000-000024030000}"/>
    <cellStyle name="Comma 57" xfId="1017" xr:uid="{00000000-0005-0000-0000-000025030000}"/>
    <cellStyle name="Comma 58" xfId="1016" xr:uid="{00000000-0005-0000-0000-000026030000}"/>
    <cellStyle name="Comma 59" xfId="1015" xr:uid="{00000000-0005-0000-0000-000027030000}"/>
    <cellStyle name="Comma 6" xfId="34" xr:uid="{00000000-0005-0000-0000-000028030000}"/>
    <cellStyle name="Comma 6 2" xfId="237" xr:uid="{00000000-0005-0000-0000-000029030000}"/>
    <cellStyle name="Comma 6 3" xfId="413" xr:uid="{00000000-0005-0000-0000-00002A030000}"/>
    <cellStyle name="Comma 6 3 2" xfId="503" xr:uid="{00000000-0005-0000-0000-00002B030000}"/>
    <cellStyle name="Comma 6 3 3" xfId="1113" xr:uid="{00000000-0005-0000-0000-00002C030000}"/>
    <cellStyle name="Comma 6 4" xfId="429" xr:uid="{00000000-0005-0000-0000-00002D030000}"/>
    <cellStyle name="Comma 6 4 2" xfId="515" xr:uid="{00000000-0005-0000-0000-00002E030000}"/>
    <cellStyle name="Comma 6 5" xfId="435" xr:uid="{00000000-0005-0000-0000-00002F030000}"/>
    <cellStyle name="Comma 6 5 2" xfId="520" xr:uid="{00000000-0005-0000-0000-000030030000}"/>
    <cellStyle name="Comma 6 6" xfId="442" xr:uid="{00000000-0005-0000-0000-000031030000}"/>
    <cellStyle name="Comma 60" xfId="1014" xr:uid="{00000000-0005-0000-0000-000032030000}"/>
    <cellStyle name="Comma 61" xfId="1013" xr:uid="{00000000-0005-0000-0000-000033030000}"/>
    <cellStyle name="Comma 62" xfId="1012" xr:uid="{00000000-0005-0000-0000-000034030000}"/>
    <cellStyle name="Comma 63" xfId="1011" xr:uid="{00000000-0005-0000-0000-000035030000}"/>
    <cellStyle name="Comma 64" xfId="1010" xr:uid="{00000000-0005-0000-0000-000036030000}"/>
    <cellStyle name="Comma 65" xfId="1009" xr:uid="{00000000-0005-0000-0000-000037030000}"/>
    <cellStyle name="Comma 66" xfId="1008" xr:uid="{00000000-0005-0000-0000-000038030000}"/>
    <cellStyle name="Comma 67" xfId="1007" xr:uid="{00000000-0005-0000-0000-000039030000}"/>
    <cellStyle name="Comma 68" xfId="1006" xr:uid="{00000000-0005-0000-0000-00003A030000}"/>
    <cellStyle name="Comma 69" xfId="1005" xr:uid="{00000000-0005-0000-0000-00003B030000}"/>
    <cellStyle name="Comma 7" xfId="43" xr:uid="{00000000-0005-0000-0000-00003C030000}"/>
    <cellStyle name="Comma 7 2" xfId="238" xr:uid="{00000000-0005-0000-0000-00003D030000}"/>
    <cellStyle name="Comma 7 2 2" xfId="1844" xr:uid="{00000000-0005-0000-0000-00003E030000}"/>
    <cellStyle name="Comma 7 3" xfId="239" xr:uid="{00000000-0005-0000-0000-00003F030000}"/>
    <cellStyle name="Comma 7 3 2" xfId="240" xr:uid="{00000000-0005-0000-0000-000040030000}"/>
    <cellStyle name="Comma 7 4" xfId="444" xr:uid="{00000000-0005-0000-0000-000041030000}"/>
    <cellStyle name="Comma 70" xfId="1004" xr:uid="{00000000-0005-0000-0000-000042030000}"/>
    <cellStyle name="Comma 71" xfId="1003" xr:uid="{00000000-0005-0000-0000-000043030000}"/>
    <cellStyle name="Comma 72" xfId="1002" xr:uid="{00000000-0005-0000-0000-000044030000}"/>
    <cellStyle name="Comma 73" xfId="1001" xr:uid="{00000000-0005-0000-0000-000045030000}"/>
    <cellStyle name="Comma 74" xfId="1000" xr:uid="{00000000-0005-0000-0000-000046030000}"/>
    <cellStyle name="Comma 75" xfId="999" xr:uid="{00000000-0005-0000-0000-000047030000}"/>
    <cellStyle name="Comma 76" xfId="998" xr:uid="{00000000-0005-0000-0000-000048030000}"/>
    <cellStyle name="Comma 77" xfId="997" xr:uid="{00000000-0005-0000-0000-000049030000}"/>
    <cellStyle name="Comma 78" xfId="996" xr:uid="{00000000-0005-0000-0000-00004A030000}"/>
    <cellStyle name="Comma 79" xfId="995" xr:uid="{00000000-0005-0000-0000-00004B030000}"/>
    <cellStyle name="Comma 8" xfId="241" xr:uid="{00000000-0005-0000-0000-00004C030000}"/>
    <cellStyle name="Comma 8 2" xfId="643" xr:uid="{00000000-0005-0000-0000-00004D030000}"/>
    <cellStyle name="Comma 8 2 2" xfId="885" xr:uid="{00000000-0005-0000-0000-00004E030000}"/>
    <cellStyle name="Comma 8 3" xfId="1114" xr:uid="{00000000-0005-0000-0000-00004F030000}"/>
    <cellStyle name="Comma 8 4" xfId="642" xr:uid="{00000000-0005-0000-0000-000050030000}"/>
    <cellStyle name="Comma 80" xfId="994" xr:uid="{00000000-0005-0000-0000-000051030000}"/>
    <cellStyle name="Comma 81" xfId="993" xr:uid="{00000000-0005-0000-0000-000052030000}"/>
    <cellStyle name="Comma 82" xfId="992" xr:uid="{00000000-0005-0000-0000-000053030000}"/>
    <cellStyle name="Comma 83" xfId="991" xr:uid="{00000000-0005-0000-0000-000054030000}"/>
    <cellStyle name="Comma 84" xfId="1138" xr:uid="{00000000-0005-0000-0000-000055030000}"/>
    <cellStyle name="Comma 84 2" xfId="1242" xr:uid="{00000000-0005-0000-0000-000056030000}"/>
    <cellStyle name="Comma 85" xfId="1143" xr:uid="{00000000-0005-0000-0000-000057030000}"/>
    <cellStyle name="Comma 85 2" xfId="1247" xr:uid="{00000000-0005-0000-0000-000058030000}"/>
    <cellStyle name="Comma 86" xfId="10334" xr:uid="{00000000-0005-0000-0000-000059030000}"/>
    <cellStyle name="Comma 87" xfId="10336" xr:uid="{00000000-0005-0000-0000-00005A030000}"/>
    <cellStyle name="Comma 9" xfId="242" xr:uid="{00000000-0005-0000-0000-00005B030000}"/>
    <cellStyle name="Comma 9 2" xfId="243" xr:uid="{00000000-0005-0000-0000-00005C030000}"/>
    <cellStyle name="Comma 9 2 2" xfId="887" xr:uid="{00000000-0005-0000-0000-00005D030000}"/>
    <cellStyle name="Comma 9 3" xfId="1115" xr:uid="{00000000-0005-0000-0000-00005E030000}"/>
    <cellStyle name="Comma 9 4" xfId="644" xr:uid="{00000000-0005-0000-0000-00005F030000}"/>
    <cellStyle name="Comma Input" xfId="645" xr:uid="{00000000-0005-0000-0000-000060030000}"/>
    <cellStyle name="Comma0" xfId="244" xr:uid="{00000000-0005-0000-0000-000061030000}"/>
    <cellStyle name="Comma0 2" xfId="1845" xr:uid="{00000000-0005-0000-0000-000062030000}"/>
    <cellStyle name="Comma0 3" xfId="646" xr:uid="{00000000-0005-0000-0000-000063030000}"/>
    <cellStyle name="Company Name" xfId="647" xr:uid="{00000000-0005-0000-0000-000064030000}"/>
    <cellStyle name="Config Data" xfId="5" xr:uid="{00000000-0005-0000-0000-000065030000}"/>
    <cellStyle name="Currency" xfId="6" builtinId="4"/>
    <cellStyle name="Currency [1]" xfId="648" xr:uid="{00000000-0005-0000-0000-000067030000}"/>
    <cellStyle name="Currency [2]" xfId="649" xr:uid="{00000000-0005-0000-0000-000068030000}"/>
    <cellStyle name="Currency [3]" xfId="650" xr:uid="{00000000-0005-0000-0000-000069030000}"/>
    <cellStyle name="Currency 0.0" xfId="651" xr:uid="{00000000-0005-0000-0000-00006A030000}"/>
    <cellStyle name="Currency 0.00" xfId="652" xr:uid="{00000000-0005-0000-0000-00006B030000}"/>
    <cellStyle name="Currency 0.000" xfId="653" xr:uid="{00000000-0005-0000-0000-00006C030000}"/>
    <cellStyle name="Currency 0.0000" xfId="654" xr:uid="{00000000-0005-0000-0000-00006D030000}"/>
    <cellStyle name="Currency 10" xfId="527" xr:uid="{00000000-0005-0000-0000-00006E030000}"/>
    <cellStyle name="Currency 10 2" xfId="535" xr:uid="{00000000-0005-0000-0000-00006F030000}"/>
    <cellStyle name="Currency 100" xfId="1846" xr:uid="{00000000-0005-0000-0000-000070030000}"/>
    <cellStyle name="Currency 100 2" xfId="1847" xr:uid="{00000000-0005-0000-0000-000071030000}"/>
    <cellStyle name="Currency 11" xfId="990" xr:uid="{00000000-0005-0000-0000-000072030000}"/>
    <cellStyle name="Currency 12" xfId="989" xr:uid="{00000000-0005-0000-0000-000073030000}"/>
    <cellStyle name="Currency 13" xfId="1116" xr:uid="{00000000-0005-0000-0000-000074030000}"/>
    <cellStyle name="Currency 14" xfId="1126" xr:uid="{00000000-0005-0000-0000-000075030000}"/>
    <cellStyle name="Currency 15" xfId="1130" xr:uid="{00000000-0005-0000-0000-000076030000}"/>
    <cellStyle name="Currency 16" xfId="1141" xr:uid="{00000000-0005-0000-0000-000077030000}"/>
    <cellStyle name="Currency 16 2" xfId="1245" xr:uid="{00000000-0005-0000-0000-000078030000}"/>
    <cellStyle name="Currency 17" xfId="1140" xr:uid="{00000000-0005-0000-0000-000079030000}"/>
    <cellStyle name="Currency 17 2" xfId="1244" xr:uid="{00000000-0005-0000-0000-00007A030000}"/>
    <cellStyle name="Currency 18" xfId="1168" xr:uid="{00000000-0005-0000-0000-00007B030000}"/>
    <cellStyle name="Currency 19" xfId="1176" xr:uid="{00000000-0005-0000-0000-00007C030000}"/>
    <cellStyle name="Currency 2" xfId="19" xr:uid="{00000000-0005-0000-0000-00007D030000}"/>
    <cellStyle name="Currency 2 2" xfId="245" xr:uid="{00000000-0005-0000-0000-00007E030000}"/>
    <cellStyle name="Currency 2 2 2" xfId="538" xr:uid="{00000000-0005-0000-0000-00007F030000}"/>
    <cellStyle name="Currency 2 3" xfId="246" xr:uid="{00000000-0005-0000-0000-000080030000}"/>
    <cellStyle name="Currency 2 3 2" xfId="247" xr:uid="{00000000-0005-0000-0000-000081030000}"/>
    <cellStyle name="Currency 2 4" xfId="248" xr:uid="{00000000-0005-0000-0000-000082030000}"/>
    <cellStyle name="Currency 20" xfId="1169" xr:uid="{00000000-0005-0000-0000-000083030000}"/>
    <cellStyle name="Currency 21" xfId="1181" xr:uid="{00000000-0005-0000-0000-000084030000}"/>
    <cellStyle name="Currency 22" xfId="1170" xr:uid="{00000000-0005-0000-0000-000085030000}"/>
    <cellStyle name="Currency 23" xfId="1180" xr:uid="{00000000-0005-0000-0000-000086030000}"/>
    <cellStyle name="Currency 24" xfId="1171" xr:uid="{00000000-0005-0000-0000-000087030000}"/>
    <cellStyle name="Currency 25" xfId="1179" xr:uid="{00000000-0005-0000-0000-000088030000}"/>
    <cellStyle name="Currency 26" xfId="1172" xr:uid="{00000000-0005-0000-0000-000089030000}"/>
    <cellStyle name="Currency 27" xfId="1178" xr:uid="{00000000-0005-0000-0000-00008A030000}"/>
    <cellStyle name="Currency 3" xfId="7" xr:uid="{00000000-0005-0000-0000-00008B030000}"/>
    <cellStyle name="Currency 3 2" xfId="249" xr:uid="{00000000-0005-0000-0000-00008C030000}"/>
    <cellStyle name="Currency 3 2 2" xfId="558" xr:uid="{00000000-0005-0000-0000-00008D030000}"/>
    <cellStyle name="Currency 3 3" xfId="544" xr:uid="{00000000-0005-0000-0000-00008E030000}"/>
    <cellStyle name="Currency 3 3 2" xfId="1095" xr:uid="{00000000-0005-0000-0000-00008F030000}"/>
    <cellStyle name="Currency 3 4" xfId="531" xr:uid="{00000000-0005-0000-0000-000090030000}"/>
    <cellStyle name="Currency 3 4 2" xfId="1096" xr:uid="{00000000-0005-0000-0000-000091030000}"/>
    <cellStyle name="Currency 3 5" xfId="1142" xr:uid="{00000000-0005-0000-0000-000092030000}"/>
    <cellStyle name="Currency 3 5 2" xfId="1246" xr:uid="{00000000-0005-0000-0000-000093030000}"/>
    <cellStyle name="Currency 4" xfId="28" xr:uid="{00000000-0005-0000-0000-000094030000}"/>
    <cellStyle name="Currency 4 10" xfId="1848" xr:uid="{00000000-0005-0000-0000-000095030000}"/>
    <cellStyle name="Currency 4 10 2" xfId="1849" xr:uid="{00000000-0005-0000-0000-000096030000}"/>
    <cellStyle name="Currency 4 10 2 2" xfId="1850" xr:uid="{00000000-0005-0000-0000-000097030000}"/>
    <cellStyle name="Currency 4 10 2 3" xfId="1851" xr:uid="{00000000-0005-0000-0000-000098030000}"/>
    <cellStyle name="Currency 4 10 3" xfId="1852" xr:uid="{00000000-0005-0000-0000-000099030000}"/>
    <cellStyle name="Currency 4 10 4" xfId="1853" xr:uid="{00000000-0005-0000-0000-00009A030000}"/>
    <cellStyle name="Currency 4 10 5" xfId="1854" xr:uid="{00000000-0005-0000-0000-00009B030000}"/>
    <cellStyle name="Currency 4 11" xfId="1855" xr:uid="{00000000-0005-0000-0000-00009C030000}"/>
    <cellStyle name="Currency 4 2" xfId="250" xr:uid="{00000000-0005-0000-0000-00009D030000}"/>
    <cellStyle name="Currency 4 2 10" xfId="1857" xr:uid="{00000000-0005-0000-0000-00009E030000}"/>
    <cellStyle name="Currency 4 2 10 2" xfId="1858" xr:uid="{00000000-0005-0000-0000-00009F030000}"/>
    <cellStyle name="Currency 4 2 10 3" xfId="1859" xr:uid="{00000000-0005-0000-0000-0000A0030000}"/>
    <cellStyle name="Currency 4 2 11" xfId="1860" xr:uid="{00000000-0005-0000-0000-0000A1030000}"/>
    <cellStyle name="Currency 4 2 12" xfId="1861" xr:uid="{00000000-0005-0000-0000-0000A2030000}"/>
    <cellStyle name="Currency 4 2 13" xfId="1862" xr:uid="{00000000-0005-0000-0000-0000A3030000}"/>
    <cellStyle name="Currency 4 2 14" xfId="1856" xr:uid="{00000000-0005-0000-0000-0000A4030000}"/>
    <cellStyle name="Currency 4 2 2" xfId="1863" xr:uid="{00000000-0005-0000-0000-0000A5030000}"/>
    <cellStyle name="Currency 4 2 2 2" xfId="1864" xr:uid="{00000000-0005-0000-0000-0000A6030000}"/>
    <cellStyle name="Currency 4 2 2 2 2" xfId="1865" xr:uid="{00000000-0005-0000-0000-0000A7030000}"/>
    <cellStyle name="Currency 4 2 2 2 2 2" xfId="1866" xr:uid="{00000000-0005-0000-0000-0000A8030000}"/>
    <cellStyle name="Currency 4 2 2 2 2 2 2" xfId="1867" xr:uid="{00000000-0005-0000-0000-0000A9030000}"/>
    <cellStyle name="Currency 4 2 2 2 2 2 2 2" xfId="1868" xr:uid="{00000000-0005-0000-0000-0000AA030000}"/>
    <cellStyle name="Currency 4 2 2 2 2 2 2 3" xfId="1869" xr:uid="{00000000-0005-0000-0000-0000AB030000}"/>
    <cellStyle name="Currency 4 2 2 2 2 2 3" xfId="1870" xr:uid="{00000000-0005-0000-0000-0000AC030000}"/>
    <cellStyle name="Currency 4 2 2 2 2 2 4" xfId="1871" xr:uid="{00000000-0005-0000-0000-0000AD030000}"/>
    <cellStyle name="Currency 4 2 2 2 2 2 5" xfId="1872" xr:uid="{00000000-0005-0000-0000-0000AE030000}"/>
    <cellStyle name="Currency 4 2 2 2 2 3" xfId="1873" xr:uid="{00000000-0005-0000-0000-0000AF030000}"/>
    <cellStyle name="Currency 4 2 2 2 2 3 2" xfId="1874" xr:uid="{00000000-0005-0000-0000-0000B0030000}"/>
    <cellStyle name="Currency 4 2 2 2 2 3 2 2" xfId="1875" xr:uid="{00000000-0005-0000-0000-0000B1030000}"/>
    <cellStyle name="Currency 4 2 2 2 2 3 2 3" xfId="1876" xr:uid="{00000000-0005-0000-0000-0000B2030000}"/>
    <cellStyle name="Currency 4 2 2 2 2 3 3" xfId="1877" xr:uid="{00000000-0005-0000-0000-0000B3030000}"/>
    <cellStyle name="Currency 4 2 2 2 2 3 4" xfId="1878" xr:uid="{00000000-0005-0000-0000-0000B4030000}"/>
    <cellStyle name="Currency 4 2 2 2 2 3 5" xfId="1879" xr:uid="{00000000-0005-0000-0000-0000B5030000}"/>
    <cellStyle name="Currency 4 2 2 2 2 4" xfId="1880" xr:uid="{00000000-0005-0000-0000-0000B6030000}"/>
    <cellStyle name="Currency 4 2 2 2 2 4 2" xfId="1881" xr:uid="{00000000-0005-0000-0000-0000B7030000}"/>
    <cellStyle name="Currency 4 2 2 2 2 4 3" xfId="1882" xr:uid="{00000000-0005-0000-0000-0000B8030000}"/>
    <cellStyle name="Currency 4 2 2 2 2 5" xfId="1883" xr:uid="{00000000-0005-0000-0000-0000B9030000}"/>
    <cellStyle name="Currency 4 2 2 2 2 6" xfId="1884" xr:uid="{00000000-0005-0000-0000-0000BA030000}"/>
    <cellStyle name="Currency 4 2 2 2 2 7" xfId="1885" xr:uid="{00000000-0005-0000-0000-0000BB030000}"/>
    <cellStyle name="Currency 4 2 2 2 3" xfId="1886" xr:uid="{00000000-0005-0000-0000-0000BC030000}"/>
    <cellStyle name="Currency 4 2 2 2 3 2" xfId="1887" xr:uid="{00000000-0005-0000-0000-0000BD030000}"/>
    <cellStyle name="Currency 4 2 2 2 3 2 2" xfId="1888" xr:uid="{00000000-0005-0000-0000-0000BE030000}"/>
    <cellStyle name="Currency 4 2 2 2 3 2 3" xfId="1889" xr:uid="{00000000-0005-0000-0000-0000BF030000}"/>
    <cellStyle name="Currency 4 2 2 2 3 3" xfId="1890" xr:uid="{00000000-0005-0000-0000-0000C0030000}"/>
    <cellStyle name="Currency 4 2 2 2 3 4" xfId="1891" xr:uid="{00000000-0005-0000-0000-0000C1030000}"/>
    <cellStyle name="Currency 4 2 2 2 3 5" xfId="1892" xr:uid="{00000000-0005-0000-0000-0000C2030000}"/>
    <cellStyle name="Currency 4 2 2 2 4" xfId="1893" xr:uid="{00000000-0005-0000-0000-0000C3030000}"/>
    <cellStyle name="Currency 4 2 2 2 4 2" xfId="1894" xr:uid="{00000000-0005-0000-0000-0000C4030000}"/>
    <cellStyle name="Currency 4 2 2 2 4 2 2" xfId="1895" xr:uid="{00000000-0005-0000-0000-0000C5030000}"/>
    <cellStyle name="Currency 4 2 2 2 4 2 3" xfId="1896" xr:uid="{00000000-0005-0000-0000-0000C6030000}"/>
    <cellStyle name="Currency 4 2 2 2 4 3" xfId="1897" xr:uid="{00000000-0005-0000-0000-0000C7030000}"/>
    <cellStyle name="Currency 4 2 2 2 4 4" xfId="1898" xr:uid="{00000000-0005-0000-0000-0000C8030000}"/>
    <cellStyle name="Currency 4 2 2 2 4 5" xfId="1899" xr:uid="{00000000-0005-0000-0000-0000C9030000}"/>
    <cellStyle name="Currency 4 2 2 2 5" xfId="1900" xr:uid="{00000000-0005-0000-0000-0000CA030000}"/>
    <cellStyle name="Currency 4 2 2 2 5 2" xfId="1901" xr:uid="{00000000-0005-0000-0000-0000CB030000}"/>
    <cellStyle name="Currency 4 2 2 2 5 3" xfId="1902" xr:uid="{00000000-0005-0000-0000-0000CC030000}"/>
    <cellStyle name="Currency 4 2 2 2 6" xfId="1903" xr:uid="{00000000-0005-0000-0000-0000CD030000}"/>
    <cellStyle name="Currency 4 2 2 2 7" xfId="1904" xr:uid="{00000000-0005-0000-0000-0000CE030000}"/>
    <cellStyle name="Currency 4 2 2 2 8" xfId="1905" xr:uid="{00000000-0005-0000-0000-0000CF030000}"/>
    <cellStyle name="Currency 4 2 2 3" xfId="1906" xr:uid="{00000000-0005-0000-0000-0000D0030000}"/>
    <cellStyle name="Currency 4 2 2 3 2" xfId="1907" xr:uid="{00000000-0005-0000-0000-0000D1030000}"/>
    <cellStyle name="Currency 4 2 2 3 2 2" xfId="1908" xr:uid="{00000000-0005-0000-0000-0000D2030000}"/>
    <cellStyle name="Currency 4 2 2 3 2 2 2" xfId="1909" xr:uid="{00000000-0005-0000-0000-0000D3030000}"/>
    <cellStyle name="Currency 4 2 2 3 2 2 3" xfId="1910" xr:uid="{00000000-0005-0000-0000-0000D4030000}"/>
    <cellStyle name="Currency 4 2 2 3 2 3" xfId="1911" xr:uid="{00000000-0005-0000-0000-0000D5030000}"/>
    <cellStyle name="Currency 4 2 2 3 2 4" xfId="1912" xr:uid="{00000000-0005-0000-0000-0000D6030000}"/>
    <cellStyle name="Currency 4 2 2 3 2 5" xfId="1913" xr:uid="{00000000-0005-0000-0000-0000D7030000}"/>
    <cellStyle name="Currency 4 2 2 3 3" xfId="1914" xr:uid="{00000000-0005-0000-0000-0000D8030000}"/>
    <cellStyle name="Currency 4 2 2 3 3 2" xfId="1915" xr:uid="{00000000-0005-0000-0000-0000D9030000}"/>
    <cellStyle name="Currency 4 2 2 3 3 2 2" xfId="1916" xr:uid="{00000000-0005-0000-0000-0000DA030000}"/>
    <cellStyle name="Currency 4 2 2 3 3 2 3" xfId="1917" xr:uid="{00000000-0005-0000-0000-0000DB030000}"/>
    <cellStyle name="Currency 4 2 2 3 3 3" xfId="1918" xr:uid="{00000000-0005-0000-0000-0000DC030000}"/>
    <cellStyle name="Currency 4 2 2 3 3 4" xfId="1919" xr:uid="{00000000-0005-0000-0000-0000DD030000}"/>
    <cellStyle name="Currency 4 2 2 3 3 5" xfId="1920" xr:uid="{00000000-0005-0000-0000-0000DE030000}"/>
    <cellStyle name="Currency 4 2 2 3 4" xfId="1921" xr:uid="{00000000-0005-0000-0000-0000DF030000}"/>
    <cellStyle name="Currency 4 2 2 3 4 2" xfId="1922" xr:uid="{00000000-0005-0000-0000-0000E0030000}"/>
    <cellStyle name="Currency 4 2 2 3 4 3" xfId="1923" xr:uid="{00000000-0005-0000-0000-0000E1030000}"/>
    <cellStyle name="Currency 4 2 2 3 5" xfId="1924" xr:uid="{00000000-0005-0000-0000-0000E2030000}"/>
    <cellStyle name="Currency 4 2 2 3 6" xfId="1925" xr:uid="{00000000-0005-0000-0000-0000E3030000}"/>
    <cellStyle name="Currency 4 2 2 3 7" xfId="1926" xr:uid="{00000000-0005-0000-0000-0000E4030000}"/>
    <cellStyle name="Currency 4 2 2 4" xfId="1927" xr:uid="{00000000-0005-0000-0000-0000E5030000}"/>
    <cellStyle name="Currency 4 2 2 4 2" xfId="1928" xr:uid="{00000000-0005-0000-0000-0000E6030000}"/>
    <cellStyle name="Currency 4 2 2 4 2 2" xfId="1929" xr:uid="{00000000-0005-0000-0000-0000E7030000}"/>
    <cellStyle name="Currency 4 2 2 4 2 3" xfId="1930" xr:uid="{00000000-0005-0000-0000-0000E8030000}"/>
    <cellStyle name="Currency 4 2 2 4 3" xfId="1931" xr:uid="{00000000-0005-0000-0000-0000E9030000}"/>
    <cellStyle name="Currency 4 2 2 4 4" xfId="1932" xr:uid="{00000000-0005-0000-0000-0000EA030000}"/>
    <cellStyle name="Currency 4 2 2 4 5" xfId="1933" xr:uid="{00000000-0005-0000-0000-0000EB030000}"/>
    <cellStyle name="Currency 4 2 2 5" xfId="1934" xr:uid="{00000000-0005-0000-0000-0000EC030000}"/>
    <cellStyle name="Currency 4 2 2 5 2" xfId="1935" xr:uid="{00000000-0005-0000-0000-0000ED030000}"/>
    <cellStyle name="Currency 4 2 2 5 2 2" xfId="1936" xr:uid="{00000000-0005-0000-0000-0000EE030000}"/>
    <cellStyle name="Currency 4 2 2 5 2 3" xfId="1937" xr:uid="{00000000-0005-0000-0000-0000EF030000}"/>
    <cellStyle name="Currency 4 2 2 5 3" xfId="1938" xr:uid="{00000000-0005-0000-0000-0000F0030000}"/>
    <cellStyle name="Currency 4 2 2 5 4" xfId="1939" xr:uid="{00000000-0005-0000-0000-0000F1030000}"/>
    <cellStyle name="Currency 4 2 2 5 5" xfId="1940" xr:uid="{00000000-0005-0000-0000-0000F2030000}"/>
    <cellStyle name="Currency 4 2 2 6" xfId="1941" xr:uid="{00000000-0005-0000-0000-0000F3030000}"/>
    <cellStyle name="Currency 4 2 2 6 2" xfId="1942" xr:uid="{00000000-0005-0000-0000-0000F4030000}"/>
    <cellStyle name="Currency 4 2 2 6 3" xfId="1943" xr:uid="{00000000-0005-0000-0000-0000F5030000}"/>
    <cellStyle name="Currency 4 2 2 7" xfId="1944" xr:uid="{00000000-0005-0000-0000-0000F6030000}"/>
    <cellStyle name="Currency 4 2 2 8" xfId="1945" xr:uid="{00000000-0005-0000-0000-0000F7030000}"/>
    <cellStyle name="Currency 4 2 2 9" xfId="1946" xr:uid="{00000000-0005-0000-0000-0000F8030000}"/>
    <cellStyle name="Currency 4 2 3" xfId="1947" xr:uid="{00000000-0005-0000-0000-0000F9030000}"/>
    <cellStyle name="Currency 4 2 3 2" xfId="1948" xr:uid="{00000000-0005-0000-0000-0000FA030000}"/>
    <cellStyle name="Currency 4 2 3 2 2" xfId="1949" xr:uid="{00000000-0005-0000-0000-0000FB030000}"/>
    <cellStyle name="Currency 4 2 3 2 2 2" xfId="1950" xr:uid="{00000000-0005-0000-0000-0000FC030000}"/>
    <cellStyle name="Currency 4 2 3 2 2 2 2" xfId="1951" xr:uid="{00000000-0005-0000-0000-0000FD030000}"/>
    <cellStyle name="Currency 4 2 3 2 2 2 2 2" xfId="1952" xr:uid="{00000000-0005-0000-0000-0000FE030000}"/>
    <cellStyle name="Currency 4 2 3 2 2 2 2 3" xfId="1953" xr:uid="{00000000-0005-0000-0000-0000FF030000}"/>
    <cellStyle name="Currency 4 2 3 2 2 2 3" xfId="1954" xr:uid="{00000000-0005-0000-0000-000000040000}"/>
    <cellStyle name="Currency 4 2 3 2 2 2 4" xfId="1955" xr:uid="{00000000-0005-0000-0000-000001040000}"/>
    <cellStyle name="Currency 4 2 3 2 2 2 5" xfId="1956" xr:uid="{00000000-0005-0000-0000-000002040000}"/>
    <cellStyle name="Currency 4 2 3 2 2 3" xfId="1957" xr:uid="{00000000-0005-0000-0000-000003040000}"/>
    <cellStyle name="Currency 4 2 3 2 2 3 2" xfId="1958" xr:uid="{00000000-0005-0000-0000-000004040000}"/>
    <cellStyle name="Currency 4 2 3 2 2 3 2 2" xfId="1959" xr:uid="{00000000-0005-0000-0000-000005040000}"/>
    <cellStyle name="Currency 4 2 3 2 2 3 2 3" xfId="1960" xr:uid="{00000000-0005-0000-0000-000006040000}"/>
    <cellStyle name="Currency 4 2 3 2 2 3 3" xfId="1961" xr:uid="{00000000-0005-0000-0000-000007040000}"/>
    <cellStyle name="Currency 4 2 3 2 2 3 4" xfId="1962" xr:uid="{00000000-0005-0000-0000-000008040000}"/>
    <cellStyle name="Currency 4 2 3 2 2 3 5" xfId="1963" xr:uid="{00000000-0005-0000-0000-000009040000}"/>
    <cellStyle name="Currency 4 2 3 2 2 4" xfId="1964" xr:uid="{00000000-0005-0000-0000-00000A040000}"/>
    <cellStyle name="Currency 4 2 3 2 2 4 2" xfId="1965" xr:uid="{00000000-0005-0000-0000-00000B040000}"/>
    <cellStyle name="Currency 4 2 3 2 2 4 3" xfId="1966" xr:uid="{00000000-0005-0000-0000-00000C040000}"/>
    <cellStyle name="Currency 4 2 3 2 2 5" xfId="1967" xr:uid="{00000000-0005-0000-0000-00000D040000}"/>
    <cellStyle name="Currency 4 2 3 2 2 6" xfId="1968" xr:uid="{00000000-0005-0000-0000-00000E040000}"/>
    <cellStyle name="Currency 4 2 3 2 2 7" xfId="1969" xr:uid="{00000000-0005-0000-0000-00000F040000}"/>
    <cellStyle name="Currency 4 2 3 2 3" xfId="1970" xr:uid="{00000000-0005-0000-0000-000010040000}"/>
    <cellStyle name="Currency 4 2 3 2 3 2" xfId="1971" xr:uid="{00000000-0005-0000-0000-000011040000}"/>
    <cellStyle name="Currency 4 2 3 2 3 2 2" xfId="1972" xr:uid="{00000000-0005-0000-0000-000012040000}"/>
    <cellStyle name="Currency 4 2 3 2 3 2 3" xfId="1973" xr:uid="{00000000-0005-0000-0000-000013040000}"/>
    <cellStyle name="Currency 4 2 3 2 3 3" xfId="1974" xr:uid="{00000000-0005-0000-0000-000014040000}"/>
    <cellStyle name="Currency 4 2 3 2 3 4" xfId="1975" xr:uid="{00000000-0005-0000-0000-000015040000}"/>
    <cellStyle name="Currency 4 2 3 2 3 5" xfId="1976" xr:uid="{00000000-0005-0000-0000-000016040000}"/>
    <cellStyle name="Currency 4 2 3 2 4" xfId="1977" xr:uid="{00000000-0005-0000-0000-000017040000}"/>
    <cellStyle name="Currency 4 2 3 2 4 2" xfId="1978" xr:uid="{00000000-0005-0000-0000-000018040000}"/>
    <cellStyle name="Currency 4 2 3 2 4 2 2" xfId="1979" xr:uid="{00000000-0005-0000-0000-000019040000}"/>
    <cellStyle name="Currency 4 2 3 2 4 2 3" xfId="1980" xr:uid="{00000000-0005-0000-0000-00001A040000}"/>
    <cellStyle name="Currency 4 2 3 2 4 3" xfId="1981" xr:uid="{00000000-0005-0000-0000-00001B040000}"/>
    <cellStyle name="Currency 4 2 3 2 4 4" xfId="1982" xr:uid="{00000000-0005-0000-0000-00001C040000}"/>
    <cellStyle name="Currency 4 2 3 2 4 5" xfId="1983" xr:uid="{00000000-0005-0000-0000-00001D040000}"/>
    <cellStyle name="Currency 4 2 3 2 5" xfId="1984" xr:uid="{00000000-0005-0000-0000-00001E040000}"/>
    <cellStyle name="Currency 4 2 3 2 5 2" xfId="1985" xr:uid="{00000000-0005-0000-0000-00001F040000}"/>
    <cellStyle name="Currency 4 2 3 2 5 3" xfId="1986" xr:uid="{00000000-0005-0000-0000-000020040000}"/>
    <cellStyle name="Currency 4 2 3 2 6" xfId="1987" xr:uid="{00000000-0005-0000-0000-000021040000}"/>
    <cellStyle name="Currency 4 2 3 2 7" xfId="1988" xr:uid="{00000000-0005-0000-0000-000022040000}"/>
    <cellStyle name="Currency 4 2 3 2 8" xfId="1989" xr:uid="{00000000-0005-0000-0000-000023040000}"/>
    <cellStyle name="Currency 4 2 3 3" xfId="1990" xr:uid="{00000000-0005-0000-0000-000024040000}"/>
    <cellStyle name="Currency 4 2 3 3 2" xfId="1991" xr:uid="{00000000-0005-0000-0000-000025040000}"/>
    <cellStyle name="Currency 4 2 3 3 2 2" xfId="1992" xr:uid="{00000000-0005-0000-0000-000026040000}"/>
    <cellStyle name="Currency 4 2 3 3 2 2 2" xfId="1993" xr:uid="{00000000-0005-0000-0000-000027040000}"/>
    <cellStyle name="Currency 4 2 3 3 2 2 3" xfId="1994" xr:uid="{00000000-0005-0000-0000-000028040000}"/>
    <cellStyle name="Currency 4 2 3 3 2 3" xfId="1995" xr:uid="{00000000-0005-0000-0000-000029040000}"/>
    <cellStyle name="Currency 4 2 3 3 2 4" xfId="1996" xr:uid="{00000000-0005-0000-0000-00002A040000}"/>
    <cellStyle name="Currency 4 2 3 3 2 5" xfId="1997" xr:uid="{00000000-0005-0000-0000-00002B040000}"/>
    <cellStyle name="Currency 4 2 3 3 3" xfId="1998" xr:uid="{00000000-0005-0000-0000-00002C040000}"/>
    <cellStyle name="Currency 4 2 3 3 3 2" xfId="1999" xr:uid="{00000000-0005-0000-0000-00002D040000}"/>
    <cellStyle name="Currency 4 2 3 3 3 2 2" xfId="2000" xr:uid="{00000000-0005-0000-0000-00002E040000}"/>
    <cellStyle name="Currency 4 2 3 3 3 2 3" xfId="2001" xr:uid="{00000000-0005-0000-0000-00002F040000}"/>
    <cellStyle name="Currency 4 2 3 3 3 3" xfId="2002" xr:uid="{00000000-0005-0000-0000-000030040000}"/>
    <cellStyle name="Currency 4 2 3 3 3 4" xfId="2003" xr:uid="{00000000-0005-0000-0000-000031040000}"/>
    <cellStyle name="Currency 4 2 3 3 3 5" xfId="2004" xr:uid="{00000000-0005-0000-0000-000032040000}"/>
    <cellStyle name="Currency 4 2 3 3 4" xfId="2005" xr:uid="{00000000-0005-0000-0000-000033040000}"/>
    <cellStyle name="Currency 4 2 3 3 4 2" xfId="2006" xr:uid="{00000000-0005-0000-0000-000034040000}"/>
    <cellStyle name="Currency 4 2 3 3 4 3" xfId="2007" xr:uid="{00000000-0005-0000-0000-000035040000}"/>
    <cellStyle name="Currency 4 2 3 3 5" xfId="2008" xr:uid="{00000000-0005-0000-0000-000036040000}"/>
    <cellStyle name="Currency 4 2 3 3 6" xfId="2009" xr:uid="{00000000-0005-0000-0000-000037040000}"/>
    <cellStyle name="Currency 4 2 3 3 7" xfId="2010" xr:uid="{00000000-0005-0000-0000-000038040000}"/>
    <cellStyle name="Currency 4 2 3 4" xfId="2011" xr:uid="{00000000-0005-0000-0000-000039040000}"/>
    <cellStyle name="Currency 4 2 3 4 2" xfId="2012" xr:uid="{00000000-0005-0000-0000-00003A040000}"/>
    <cellStyle name="Currency 4 2 3 4 2 2" xfId="2013" xr:uid="{00000000-0005-0000-0000-00003B040000}"/>
    <cellStyle name="Currency 4 2 3 4 2 3" xfId="2014" xr:uid="{00000000-0005-0000-0000-00003C040000}"/>
    <cellStyle name="Currency 4 2 3 4 3" xfId="2015" xr:uid="{00000000-0005-0000-0000-00003D040000}"/>
    <cellStyle name="Currency 4 2 3 4 4" xfId="2016" xr:uid="{00000000-0005-0000-0000-00003E040000}"/>
    <cellStyle name="Currency 4 2 3 4 5" xfId="2017" xr:uid="{00000000-0005-0000-0000-00003F040000}"/>
    <cellStyle name="Currency 4 2 3 5" xfId="2018" xr:uid="{00000000-0005-0000-0000-000040040000}"/>
    <cellStyle name="Currency 4 2 3 5 2" xfId="2019" xr:uid="{00000000-0005-0000-0000-000041040000}"/>
    <cellStyle name="Currency 4 2 3 5 2 2" xfId="2020" xr:uid="{00000000-0005-0000-0000-000042040000}"/>
    <cellStyle name="Currency 4 2 3 5 2 3" xfId="2021" xr:uid="{00000000-0005-0000-0000-000043040000}"/>
    <cellStyle name="Currency 4 2 3 5 3" xfId="2022" xr:uid="{00000000-0005-0000-0000-000044040000}"/>
    <cellStyle name="Currency 4 2 3 5 4" xfId="2023" xr:uid="{00000000-0005-0000-0000-000045040000}"/>
    <cellStyle name="Currency 4 2 3 5 5" xfId="2024" xr:uid="{00000000-0005-0000-0000-000046040000}"/>
    <cellStyle name="Currency 4 2 3 6" xfId="2025" xr:uid="{00000000-0005-0000-0000-000047040000}"/>
    <cellStyle name="Currency 4 2 3 6 2" xfId="2026" xr:uid="{00000000-0005-0000-0000-000048040000}"/>
    <cellStyle name="Currency 4 2 3 6 3" xfId="2027" xr:uid="{00000000-0005-0000-0000-000049040000}"/>
    <cellStyle name="Currency 4 2 3 7" xfId="2028" xr:uid="{00000000-0005-0000-0000-00004A040000}"/>
    <cellStyle name="Currency 4 2 3 8" xfId="2029" xr:uid="{00000000-0005-0000-0000-00004B040000}"/>
    <cellStyle name="Currency 4 2 3 9" xfId="2030" xr:uid="{00000000-0005-0000-0000-00004C040000}"/>
    <cellStyle name="Currency 4 2 4" xfId="2031" xr:uid="{00000000-0005-0000-0000-00004D040000}"/>
    <cellStyle name="Currency 4 2 4 2" xfId="2032" xr:uid="{00000000-0005-0000-0000-00004E040000}"/>
    <cellStyle name="Currency 4 2 4 2 2" xfId="2033" xr:uid="{00000000-0005-0000-0000-00004F040000}"/>
    <cellStyle name="Currency 4 2 4 2 2 2" xfId="2034" xr:uid="{00000000-0005-0000-0000-000050040000}"/>
    <cellStyle name="Currency 4 2 4 2 2 2 2" xfId="2035" xr:uid="{00000000-0005-0000-0000-000051040000}"/>
    <cellStyle name="Currency 4 2 4 2 2 2 2 2" xfId="2036" xr:uid="{00000000-0005-0000-0000-000052040000}"/>
    <cellStyle name="Currency 4 2 4 2 2 2 2 3" xfId="2037" xr:uid="{00000000-0005-0000-0000-000053040000}"/>
    <cellStyle name="Currency 4 2 4 2 2 2 3" xfId="2038" xr:uid="{00000000-0005-0000-0000-000054040000}"/>
    <cellStyle name="Currency 4 2 4 2 2 2 4" xfId="2039" xr:uid="{00000000-0005-0000-0000-000055040000}"/>
    <cellStyle name="Currency 4 2 4 2 2 2 5" xfId="2040" xr:uid="{00000000-0005-0000-0000-000056040000}"/>
    <cellStyle name="Currency 4 2 4 2 2 3" xfId="2041" xr:uid="{00000000-0005-0000-0000-000057040000}"/>
    <cellStyle name="Currency 4 2 4 2 2 3 2" xfId="2042" xr:uid="{00000000-0005-0000-0000-000058040000}"/>
    <cellStyle name="Currency 4 2 4 2 2 3 2 2" xfId="2043" xr:uid="{00000000-0005-0000-0000-000059040000}"/>
    <cellStyle name="Currency 4 2 4 2 2 3 2 3" xfId="2044" xr:uid="{00000000-0005-0000-0000-00005A040000}"/>
    <cellStyle name="Currency 4 2 4 2 2 3 3" xfId="2045" xr:uid="{00000000-0005-0000-0000-00005B040000}"/>
    <cellStyle name="Currency 4 2 4 2 2 3 4" xfId="2046" xr:uid="{00000000-0005-0000-0000-00005C040000}"/>
    <cellStyle name="Currency 4 2 4 2 2 3 5" xfId="2047" xr:uid="{00000000-0005-0000-0000-00005D040000}"/>
    <cellStyle name="Currency 4 2 4 2 2 4" xfId="2048" xr:uid="{00000000-0005-0000-0000-00005E040000}"/>
    <cellStyle name="Currency 4 2 4 2 2 4 2" xfId="2049" xr:uid="{00000000-0005-0000-0000-00005F040000}"/>
    <cellStyle name="Currency 4 2 4 2 2 4 3" xfId="2050" xr:uid="{00000000-0005-0000-0000-000060040000}"/>
    <cellStyle name="Currency 4 2 4 2 2 5" xfId="2051" xr:uid="{00000000-0005-0000-0000-000061040000}"/>
    <cellStyle name="Currency 4 2 4 2 2 6" xfId="2052" xr:uid="{00000000-0005-0000-0000-000062040000}"/>
    <cellStyle name="Currency 4 2 4 2 2 7" xfId="2053" xr:uid="{00000000-0005-0000-0000-000063040000}"/>
    <cellStyle name="Currency 4 2 4 2 3" xfId="2054" xr:uid="{00000000-0005-0000-0000-000064040000}"/>
    <cellStyle name="Currency 4 2 4 2 3 2" xfId="2055" xr:uid="{00000000-0005-0000-0000-000065040000}"/>
    <cellStyle name="Currency 4 2 4 2 3 2 2" xfId="2056" xr:uid="{00000000-0005-0000-0000-000066040000}"/>
    <cellStyle name="Currency 4 2 4 2 3 2 3" xfId="2057" xr:uid="{00000000-0005-0000-0000-000067040000}"/>
    <cellStyle name="Currency 4 2 4 2 3 3" xfId="2058" xr:uid="{00000000-0005-0000-0000-000068040000}"/>
    <cellStyle name="Currency 4 2 4 2 3 4" xfId="2059" xr:uid="{00000000-0005-0000-0000-000069040000}"/>
    <cellStyle name="Currency 4 2 4 2 3 5" xfId="2060" xr:uid="{00000000-0005-0000-0000-00006A040000}"/>
    <cellStyle name="Currency 4 2 4 2 4" xfId="2061" xr:uid="{00000000-0005-0000-0000-00006B040000}"/>
    <cellStyle name="Currency 4 2 4 2 4 2" xfId="2062" xr:uid="{00000000-0005-0000-0000-00006C040000}"/>
    <cellStyle name="Currency 4 2 4 2 4 2 2" xfId="2063" xr:uid="{00000000-0005-0000-0000-00006D040000}"/>
    <cellStyle name="Currency 4 2 4 2 4 2 3" xfId="2064" xr:uid="{00000000-0005-0000-0000-00006E040000}"/>
    <cellStyle name="Currency 4 2 4 2 4 3" xfId="2065" xr:uid="{00000000-0005-0000-0000-00006F040000}"/>
    <cellStyle name="Currency 4 2 4 2 4 4" xfId="2066" xr:uid="{00000000-0005-0000-0000-000070040000}"/>
    <cellStyle name="Currency 4 2 4 2 4 5" xfId="2067" xr:uid="{00000000-0005-0000-0000-000071040000}"/>
    <cellStyle name="Currency 4 2 4 2 5" xfId="2068" xr:uid="{00000000-0005-0000-0000-000072040000}"/>
    <cellStyle name="Currency 4 2 4 2 5 2" xfId="2069" xr:uid="{00000000-0005-0000-0000-000073040000}"/>
    <cellStyle name="Currency 4 2 4 2 5 3" xfId="2070" xr:uid="{00000000-0005-0000-0000-000074040000}"/>
    <cellStyle name="Currency 4 2 4 2 6" xfId="2071" xr:uid="{00000000-0005-0000-0000-000075040000}"/>
    <cellStyle name="Currency 4 2 4 2 7" xfId="2072" xr:uid="{00000000-0005-0000-0000-000076040000}"/>
    <cellStyle name="Currency 4 2 4 2 8" xfId="2073" xr:uid="{00000000-0005-0000-0000-000077040000}"/>
    <cellStyle name="Currency 4 2 4 3" xfId="2074" xr:uid="{00000000-0005-0000-0000-000078040000}"/>
    <cellStyle name="Currency 4 2 4 3 2" xfId="2075" xr:uid="{00000000-0005-0000-0000-000079040000}"/>
    <cellStyle name="Currency 4 2 4 3 2 2" xfId="2076" xr:uid="{00000000-0005-0000-0000-00007A040000}"/>
    <cellStyle name="Currency 4 2 4 3 2 2 2" xfId="2077" xr:uid="{00000000-0005-0000-0000-00007B040000}"/>
    <cellStyle name="Currency 4 2 4 3 2 2 3" xfId="2078" xr:uid="{00000000-0005-0000-0000-00007C040000}"/>
    <cellStyle name="Currency 4 2 4 3 2 3" xfId="2079" xr:uid="{00000000-0005-0000-0000-00007D040000}"/>
    <cellStyle name="Currency 4 2 4 3 2 4" xfId="2080" xr:uid="{00000000-0005-0000-0000-00007E040000}"/>
    <cellStyle name="Currency 4 2 4 3 2 5" xfId="2081" xr:uid="{00000000-0005-0000-0000-00007F040000}"/>
    <cellStyle name="Currency 4 2 4 3 3" xfId="2082" xr:uid="{00000000-0005-0000-0000-000080040000}"/>
    <cellStyle name="Currency 4 2 4 3 3 2" xfId="2083" xr:uid="{00000000-0005-0000-0000-000081040000}"/>
    <cellStyle name="Currency 4 2 4 3 3 2 2" xfId="2084" xr:uid="{00000000-0005-0000-0000-000082040000}"/>
    <cellStyle name="Currency 4 2 4 3 3 2 3" xfId="2085" xr:uid="{00000000-0005-0000-0000-000083040000}"/>
    <cellStyle name="Currency 4 2 4 3 3 3" xfId="2086" xr:uid="{00000000-0005-0000-0000-000084040000}"/>
    <cellStyle name="Currency 4 2 4 3 3 4" xfId="2087" xr:uid="{00000000-0005-0000-0000-000085040000}"/>
    <cellStyle name="Currency 4 2 4 3 3 5" xfId="2088" xr:uid="{00000000-0005-0000-0000-000086040000}"/>
    <cellStyle name="Currency 4 2 4 3 4" xfId="2089" xr:uid="{00000000-0005-0000-0000-000087040000}"/>
    <cellStyle name="Currency 4 2 4 3 4 2" xfId="2090" xr:uid="{00000000-0005-0000-0000-000088040000}"/>
    <cellStyle name="Currency 4 2 4 3 4 3" xfId="2091" xr:uid="{00000000-0005-0000-0000-000089040000}"/>
    <cellStyle name="Currency 4 2 4 3 5" xfId="2092" xr:uid="{00000000-0005-0000-0000-00008A040000}"/>
    <cellStyle name="Currency 4 2 4 3 6" xfId="2093" xr:uid="{00000000-0005-0000-0000-00008B040000}"/>
    <cellStyle name="Currency 4 2 4 3 7" xfId="2094" xr:uid="{00000000-0005-0000-0000-00008C040000}"/>
    <cellStyle name="Currency 4 2 4 4" xfId="2095" xr:uid="{00000000-0005-0000-0000-00008D040000}"/>
    <cellStyle name="Currency 4 2 4 4 2" xfId="2096" xr:uid="{00000000-0005-0000-0000-00008E040000}"/>
    <cellStyle name="Currency 4 2 4 4 2 2" xfId="2097" xr:uid="{00000000-0005-0000-0000-00008F040000}"/>
    <cellStyle name="Currency 4 2 4 4 2 3" xfId="2098" xr:uid="{00000000-0005-0000-0000-000090040000}"/>
    <cellStyle name="Currency 4 2 4 4 3" xfId="2099" xr:uid="{00000000-0005-0000-0000-000091040000}"/>
    <cellStyle name="Currency 4 2 4 4 4" xfId="2100" xr:uid="{00000000-0005-0000-0000-000092040000}"/>
    <cellStyle name="Currency 4 2 4 4 5" xfId="2101" xr:uid="{00000000-0005-0000-0000-000093040000}"/>
    <cellStyle name="Currency 4 2 4 5" xfId="2102" xr:uid="{00000000-0005-0000-0000-000094040000}"/>
    <cellStyle name="Currency 4 2 4 5 2" xfId="2103" xr:uid="{00000000-0005-0000-0000-000095040000}"/>
    <cellStyle name="Currency 4 2 4 5 2 2" xfId="2104" xr:uid="{00000000-0005-0000-0000-000096040000}"/>
    <cellStyle name="Currency 4 2 4 5 2 3" xfId="2105" xr:uid="{00000000-0005-0000-0000-000097040000}"/>
    <cellStyle name="Currency 4 2 4 5 3" xfId="2106" xr:uid="{00000000-0005-0000-0000-000098040000}"/>
    <cellStyle name="Currency 4 2 4 5 4" xfId="2107" xr:uid="{00000000-0005-0000-0000-000099040000}"/>
    <cellStyle name="Currency 4 2 4 5 5" xfId="2108" xr:uid="{00000000-0005-0000-0000-00009A040000}"/>
    <cellStyle name="Currency 4 2 4 6" xfId="2109" xr:uid="{00000000-0005-0000-0000-00009B040000}"/>
    <cellStyle name="Currency 4 2 4 6 2" xfId="2110" xr:uid="{00000000-0005-0000-0000-00009C040000}"/>
    <cellStyle name="Currency 4 2 4 6 3" xfId="2111" xr:uid="{00000000-0005-0000-0000-00009D040000}"/>
    <cellStyle name="Currency 4 2 4 7" xfId="2112" xr:uid="{00000000-0005-0000-0000-00009E040000}"/>
    <cellStyle name="Currency 4 2 4 8" xfId="2113" xr:uid="{00000000-0005-0000-0000-00009F040000}"/>
    <cellStyle name="Currency 4 2 4 9" xfId="2114" xr:uid="{00000000-0005-0000-0000-0000A0040000}"/>
    <cellStyle name="Currency 4 2 5" xfId="2115" xr:uid="{00000000-0005-0000-0000-0000A1040000}"/>
    <cellStyle name="Currency 4 2 5 2" xfId="2116" xr:uid="{00000000-0005-0000-0000-0000A2040000}"/>
    <cellStyle name="Currency 4 2 5 2 2" xfId="2117" xr:uid="{00000000-0005-0000-0000-0000A3040000}"/>
    <cellStyle name="Currency 4 2 5 2 2 2" xfId="2118" xr:uid="{00000000-0005-0000-0000-0000A4040000}"/>
    <cellStyle name="Currency 4 2 5 2 2 2 2" xfId="2119" xr:uid="{00000000-0005-0000-0000-0000A5040000}"/>
    <cellStyle name="Currency 4 2 5 2 2 2 3" xfId="2120" xr:uid="{00000000-0005-0000-0000-0000A6040000}"/>
    <cellStyle name="Currency 4 2 5 2 2 3" xfId="2121" xr:uid="{00000000-0005-0000-0000-0000A7040000}"/>
    <cellStyle name="Currency 4 2 5 2 2 4" xfId="2122" xr:uid="{00000000-0005-0000-0000-0000A8040000}"/>
    <cellStyle name="Currency 4 2 5 2 2 5" xfId="2123" xr:uid="{00000000-0005-0000-0000-0000A9040000}"/>
    <cellStyle name="Currency 4 2 5 2 3" xfId="2124" xr:uid="{00000000-0005-0000-0000-0000AA040000}"/>
    <cellStyle name="Currency 4 2 5 2 3 2" xfId="2125" xr:uid="{00000000-0005-0000-0000-0000AB040000}"/>
    <cellStyle name="Currency 4 2 5 2 3 2 2" xfId="2126" xr:uid="{00000000-0005-0000-0000-0000AC040000}"/>
    <cellStyle name="Currency 4 2 5 2 3 2 3" xfId="2127" xr:uid="{00000000-0005-0000-0000-0000AD040000}"/>
    <cellStyle name="Currency 4 2 5 2 3 3" xfId="2128" xr:uid="{00000000-0005-0000-0000-0000AE040000}"/>
    <cellStyle name="Currency 4 2 5 2 3 4" xfId="2129" xr:uid="{00000000-0005-0000-0000-0000AF040000}"/>
    <cellStyle name="Currency 4 2 5 2 3 5" xfId="2130" xr:uid="{00000000-0005-0000-0000-0000B0040000}"/>
    <cellStyle name="Currency 4 2 5 2 4" xfId="2131" xr:uid="{00000000-0005-0000-0000-0000B1040000}"/>
    <cellStyle name="Currency 4 2 5 2 4 2" xfId="2132" xr:uid="{00000000-0005-0000-0000-0000B2040000}"/>
    <cellStyle name="Currency 4 2 5 2 4 3" xfId="2133" xr:uid="{00000000-0005-0000-0000-0000B3040000}"/>
    <cellStyle name="Currency 4 2 5 2 5" xfId="2134" xr:uid="{00000000-0005-0000-0000-0000B4040000}"/>
    <cellStyle name="Currency 4 2 5 2 6" xfId="2135" xr:uid="{00000000-0005-0000-0000-0000B5040000}"/>
    <cellStyle name="Currency 4 2 5 2 7" xfId="2136" xr:uid="{00000000-0005-0000-0000-0000B6040000}"/>
    <cellStyle name="Currency 4 2 5 3" xfId="2137" xr:uid="{00000000-0005-0000-0000-0000B7040000}"/>
    <cellStyle name="Currency 4 2 5 3 2" xfId="2138" xr:uid="{00000000-0005-0000-0000-0000B8040000}"/>
    <cellStyle name="Currency 4 2 5 3 2 2" xfId="2139" xr:uid="{00000000-0005-0000-0000-0000B9040000}"/>
    <cellStyle name="Currency 4 2 5 3 2 3" xfId="2140" xr:uid="{00000000-0005-0000-0000-0000BA040000}"/>
    <cellStyle name="Currency 4 2 5 3 3" xfId="2141" xr:uid="{00000000-0005-0000-0000-0000BB040000}"/>
    <cellStyle name="Currency 4 2 5 3 4" xfId="2142" xr:uid="{00000000-0005-0000-0000-0000BC040000}"/>
    <cellStyle name="Currency 4 2 5 3 5" xfId="2143" xr:uid="{00000000-0005-0000-0000-0000BD040000}"/>
    <cellStyle name="Currency 4 2 5 4" xfId="2144" xr:uid="{00000000-0005-0000-0000-0000BE040000}"/>
    <cellStyle name="Currency 4 2 5 4 2" xfId="2145" xr:uid="{00000000-0005-0000-0000-0000BF040000}"/>
    <cellStyle name="Currency 4 2 5 4 2 2" xfId="2146" xr:uid="{00000000-0005-0000-0000-0000C0040000}"/>
    <cellStyle name="Currency 4 2 5 4 2 3" xfId="2147" xr:uid="{00000000-0005-0000-0000-0000C1040000}"/>
    <cellStyle name="Currency 4 2 5 4 3" xfId="2148" xr:uid="{00000000-0005-0000-0000-0000C2040000}"/>
    <cellStyle name="Currency 4 2 5 4 4" xfId="2149" xr:uid="{00000000-0005-0000-0000-0000C3040000}"/>
    <cellStyle name="Currency 4 2 5 4 5" xfId="2150" xr:uid="{00000000-0005-0000-0000-0000C4040000}"/>
    <cellStyle name="Currency 4 2 5 5" xfId="2151" xr:uid="{00000000-0005-0000-0000-0000C5040000}"/>
    <cellStyle name="Currency 4 2 5 5 2" xfId="2152" xr:uid="{00000000-0005-0000-0000-0000C6040000}"/>
    <cellStyle name="Currency 4 2 5 5 3" xfId="2153" xr:uid="{00000000-0005-0000-0000-0000C7040000}"/>
    <cellStyle name="Currency 4 2 5 6" xfId="2154" xr:uid="{00000000-0005-0000-0000-0000C8040000}"/>
    <cellStyle name="Currency 4 2 5 7" xfId="2155" xr:uid="{00000000-0005-0000-0000-0000C9040000}"/>
    <cellStyle name="Currency 4 2 5 8" xfId="2156" xr:uid="{00000000-0005-0000-0000-0000CA040000}"/>
    <cellStyle name="Currency 4 2 6" xfId="2157" xr:uid="{00000000-0005-0000-0000-0000CB040000}"/>
    <cellStyle name="Currency 4 2 7" xfId="2158" xr:uid="{00000000-0005-0000-0000-0000CC040000}"/>
    <cellStyle name="Currency 4 2 7 2" xfId="2159" xr:uid="{00000000-0005-0000-0000-0000CD040000}"/>
    <cellStyle name="Currency 4 2 7 2 2" xfId="2160" xr:uid="{00000000-0005-0000-0000-0000CE040000}"/>
    <cellStyle name="Currency 4 2 7 2 2 2" xfId="2161" xr:uid="{00000000-0005-0000-0000-0000CF040000}"/>
    <cellStyle name="Currency 4 2 7 2 2 3" xfId="2162" xr:uid="{00000000-0005-0000-0000-0000D0040000}"/>
    <cellStyle name="Currency 4 2 7 2 3" xfId="2163" xr:uid="{00000000-0005-0000-0000-0000D1040000}"/>
    <cellStyle name="Currency 4 2 7 2 4" xfId="2164" xr:uid="{00000000-0005-0000-0000-0000D2040000}"/>
    <cellStyle name="Currency 4 2 7 2 5" xfId="2165" xr:uid="{00000000-0005-0000-0000-0000D3040000}"/>
    <cellStyle name="Currency 4 2 7 3" xfId="2166" xr:uid="{00000000-0005-0000-0000-0000D4040000}"/>
    <cellStyle name="Currency 4 2 7 3 2" xfId="2167" xr:uid="{00000000-0005-0000-0000-0000D5040000}"/>
    <cellStyle name="Currency 4 2 7 3 2 2" xfId="2168" xr:uid="{00000000-0005-0000-0000-0000D6040000}"/>
    <cellStyle name="Currency 4 2 7 3 2 3" xfId="2169" xr:uid="{00000000-0005-0000-0000-0000D7040000}"/>
    <cellStyle name="Currency 4 2 7 3 3" xfId="2170" xr:uid="{00000000-0005-0000-0000-0000D8040000}"/>
    <cellStyle name="Currency 4 2 7 3 4" xfId="2171" xr:uid="{00000000-0005-0000-0000-0000D9040000}"/>
    <cellStyle name="Currency 4 2 7 3 5" xfId="2172" xr:uid="{00000000-0005-0000-0000-0000DA040000}"/>
    <cellStyle name="Currency 4 2 7 4" xfId="2173" xr:uid="{00000000-0005-0000-0000-0000DB040000}"/>
    <cellStyle name="Currency 4 2 7 4 2" xfId="2174" xr:uid="{00000000-0005-0000-0000-0000DC040000}"/>
    <cellStyle name="Currency 4 2 7 4 3" xfId="2175" xr:uid="{00000000-0005-0000-0000-0000DD040000}"/>
    <cellStyle name="Currency 4 2 7 5" xfId="2176" xr:uid="{00000000-0005-0000-0000-0000DE040000}"/>
    <cellStyle name="Currency 4 2 7 6" xfId="2177" xr:uid="{00000000-0005-0000-0000-0000DF040000}"/>
    <cellStyle name="Currency 4 2 7 7" xfId="2178" xr:uid="{00000000-0005-0000-0000-0000E0040000}"/>
    <cellStyle name="Currency 4 2 8" xfId="2179" xr:uid="{00000000-0005-0000-0000-0000E1040000}"/>
    <cellStyle name="Currency 4 2 8 2" xfId="2180" xr:uid="{00000000-0005-0000-0000-0000E2040000}"/>
    <cellStyle name="Currency 4 2 8 2 2" xfId="2181" xr:uid="{00000000-0005-0000-0000-0000E3040000}"/>
    <cellStyle name="Currency 4 2 8 2 3" xfId="2182" xr:uid="{00000000-0005-0000-0000-0000E4040000}"/>
    <cellStyle name="Currency 4 2 8 3" xfId="2183" xr:uid="{00000000-0005-0000-0000-0000E5040000}"/>
    <cellStyle name="Currency 4 2 8 4" xfId="2184" xr:uid="{00000000-0005-0000-0000-0000E6040000}"/>
    <cellStyle name="Currency 4 2 8 5" xfId="2185" xr:uid="{00000000-0005-0000-0000-0000E7040000}"/>
    <cellStyle name="Currency 4 2 9" xfId="2186" xr:uid="{00000000-0005-0000-0000-0000E8040000}"/>
    <cellStyle name="Currency 4 2 9 2" xfId="2187" xr:uid="{00000000-0005-0000-0000-0000E9040000}"/>
    <cellStyle name="Currency 4 2 9 2 2" xfId="2188" xr:uid="{00000000-0005-0000-0000-0000EA040000}"/>
    <cellStyle name="Currency 4 2 9 2 3" xfId="2189" xr:uid="{00000000-0005-0000-0000-0000EB040000}"/>
    <cellStyle name="Currency 4 2 9 3" xfId="2190" xr:uid="{00000000-0005-0000-0000-0000EC040000}"/>
    <cellStyle name="Currency 4 2 9 4" xfId="2191" xr:uid="{00000000-0005-0000-0000-0000ED040000}"/>
    <cellStyle name="Currency 4 2 9 5" xfId="2192" xr:uid="{00000000-0005-0000-0000-0000EE040000}"/>
    <cellStyle name="Currency 4 3" xfId="251" xr:uid="{00000000-0005-0000-0000-0000EF040000}"/>
    <cellStyle name="Currency 4 3 10" xfId="2193" xr:uid="{00000000-0005-0000-0000-0000F0040000}"/>
    <cellStyle name="Currency 4 3 2" xfId="252" xr:uid="{00000000-0005-0000-0000-0000F1040000}"/>
    <cellStyle name="Currency 4 3 2 2" xfId="2195" xr:uid="{00000000-0005-0000-0000-0000F2040000}"/>
    <cellStyle name="Currency 4 3 2 2 2" xfId="2196" xr:uid="{00000000-0005-0000-0000-0000F3040000}"/>
    <cellStyle name="Currency 4 3 2 2 2 2" xfId="2197" xr:uid="{00000000-0005-0000-0000-0000F4040000}"/>
    <cellStyle name="Currency 4 3 2 2 2 2 2" xfId="2198" xr:uid="{00000000-0005-0000-0000-0000F5040000}"/>
    <cellStyle name="Currency 4 3 2 2 2 2 3" xfId="2199" xr:uid="{00000000-0005-0000-0000-0000F6040000}"/>
    <cellStyle name="Currency 4 3 2 2 2 3" xfId="2200" xr:uid="{00000000-0005-0000-0000-0000F7040000}"/>
    <cellStyle name="Currency 4 3 2 2 2 4" xfId="2201" xr:uid="{00000000-0005-0000-0000-0000F8040000}"/>
    <cellStyle name="Currency 4 3 2 2 2 5" xfId="2202" xr:uid="{00000000-0005-0000-0000-0000F9040000}"/>
    <cellStyle name="Currency 4 3 2 2 3" xfId="2203" xr:uid="{00000000-0005-0000-0000-0000FA040000}"/>
    <cellStyle name="Currency 4 3 2 2 3 2" xfId="2204" xr:uid="{00000000-0005-0000-0000-0000FB040000}"/>
    <cellStyle name="Currency 4 3 2 2 3 2 2" xfId="2205" xr:uid="{00000000-0005-0000-0000-0000FC040000}"/>
    <cellStyle name="Currency 4 3 2 2 3 2 3" xfId="2206" xr:uid="{00000000-0005-0000-0000-0000FD040000}"/>
    <cellStyle name="Currency 4 3 2 2 3 3" xfId="2207" xr:uid="{00000000-0005-0000-0000-0000FE040000}"/>
    <cellStyle name="Currency 4 3 2 2 3 4" xfId="2208" xr:uid="{00000000-0005-0000-0000-0000FF040000}"/>
    <cellStyle name="Currency 4 3 2 2 3 5" xfId="2209" xr:uid="{00000000-0005-0000-0000-000000050000}"/>
    <cellStyle name="Currency 4 3 2 2 4" xfId="2210" xr:uid="{00000000-0005-0000-0000-000001050000}"/>
    <cellStyle name="Currency 4 3 2 2 4 2" xfId="2211" xr:uid="{00000000-0005-0000-0000-000002050000}"/>
    <cellStyle name="Currency 4 3 2 2 4 3" xfId="2212" xr:uid="{00000000-0005-0000-0000-000003050000}"/>
    <cellStyle name="Currency 4 3 2 2 5" xfId="2213" xr:uid="{00000000-0005-0000-0000-000004050000}"/>
    <cellStyle name="Currency 4 3 2 2 6" xfId="2214" xr:uid="{00000000-0005-0000-0000-000005050000}"/>
    <cellStyle name="Currency 4 3 2 2 7" xfId="2215" xr:uid="{00000000-0005-0000-0000-000006050000}"/>
    <cellStyle name="Currency 4 3 2 3" xfId="2216" xr:uid="{00000000-0005-0000-0000-000007050000}"/>
    <cellStyle name="Currency 4 3 2 3 2" xfId="2217" xr:uid="{00000000-0005-0000-0000-000008050000}"/>
    <cellStyle name="Currency 4 3 2 3 2 2" xfId="2218" xr:uid="{00000000-0005-0000-0000-000009050000}"/>
    <cellStyle name="Currency 4 3 2 3 2 3" xfId="2219" xr:uid="{00000000-0005-0000-0000-00000A050000}"/>
    <cellStyle name="Currency 4 3 2 3 3" xfId="2220" xr:uid="{00000000-0005-0000-0000-00000B050000}"/>
    <cellStyle name="Currency 4 3 2 3 4" xfId="2221" xr:uid="{00000000-0005-0000-0000-00000C050000}"/>
    <cellStyle name="Currency 4 3 2 3 5" xfId="2222" xr:uid="{00000000-0005-0000-0000-00000D050000}"/>
    <cellStyle name="Currency 4 3 2 4" xfId="2223" xr:uid="{00000000-0005-0000-0000-00000E050000}"/>
    <cellStyle name="Currency 4 3 2 4 2" xfId="2224" xr:uid="{00000000-0005-0000-0000-00000F050000}"/>
    <cellStyle name="Currency 4 3 2 4 2 2" xfId="2225" xr:uid="{00000000-0005-0000-0000-000010050000}"/>
    <cellStyle name="Currency 4 3 2 4 2 3" xfId="2226" xr:uid="{00000000-0005-0000-0000-000011050000}"/>
    <cellStyle name="Currency 4 3 2 4 3" xfId="2227" xr:uid="{00000000-0005-0000-0000-000012050000}"/>
    <cellStyle name="Currency 4 3 2 4 4" xfId="2228" xr:uid="{00000000-0005-0000-0000-000013050000}"/>
    <cellStyle name="Currency 4 3 2 4 5" xfId="2229" xr:uid="{00000000-0005-0000-0000-000014050000}"/>
    <cellStyle name="Currency 4 3 2 5" xfId="2230" xr:uid="{00000000-0005-0000-0000-000015050000}"/>
    <cellStyle name="Currency 4 3 2 5 2" xfId="2231" xr:uid="{00000000-0005-0000-0000-000016050000}"/>
    <cellStyle name="Currency 4 3 2 5 3" xfId="2232" xr:uid="{00000000-0005-0000-0000-000017050000}"/>
    <cellStyle name="Currency 4 3 2 6" xfId="2233" xr:uid="{00000000-0005-0000-0000-000018050000}"/>
    <cellStyle name="Currency 4 3 2 7" xfId="2234" xr:uid="{00000000-0005-0000-0000-000019050000}"/>
    <cellStyle name="Currency 4 3 2 8" xfId="2235" xr:uid="{00000000-0005-0000-0000-00001A050000}"/>
    <cellStyle name="Currency 4 3 2 9" xfId="2194" xr:uid="{00000000-0005-0000-0000-00001B050000}"/>
    <cellStyle name="Currency 4 3 3" xfId="481" xr:uid="{00000000-0005-0000-0000-00001C050000}"/>
    <cellStyle name="Currency 4 3 3 2" xfId="2237" xr:uid="{00000000-0005-0000-0000-00001D050000}"/>
    <cellStyle name="Currency 4 3 3 2 2" xfId="2238" xr:uid="{00000000-0005-0000-0000-00001E050000}"/>
    <cellStyle name="Currency 4 3 3 2 2 2" xfId="2239" xr:uid="{00000000-0005-0000-0000-00001F050000}"/>
    <cellStyle name="Currency 4 3 3 2 2 3" xfId="2240" xr:uid="{00000000-0005-0000-0000-000020050000}"/>
    <cellStyle name="Currency 4 3 3 2 3" xfId="2241" xr:uid="{00000000-0005-0000-0000-000021050000}"/>
    <cellStyle name="Currency 4 3 3 2 4" xfId="2242" xr:uid="{00000000-0005-0000-0000-000022050000}"/>
    <cellStyle name="Currency 4 3 3 2 5" xfId="2243" xr:uid="{00000000-0005-0000-0000-000023050000}"/>
    <cellStyle name="Currency 4 3 3 3" xfId="2244" xr:uid="{00000000-0005-0000-0000-000024050000}"/>
    <cellStyle name="Currency 4 3 3 3 2" xfId="2245" xr:uid="{00000000-0005-0000-0000-000025050000}"/>
    <cellStyle name="Currency 4 3 3 3 2 2" xfId="2246" xr:uid="{00000000-0005-0000-0000-000026050000}"/>
    <cellStyle name="Currency 4 3 3 3 2 3" xfId="2247" xr:uid="{00000000-0005-0000-0000-000027050000}"/>
    <cellStyle name="Currency 4 3 3 3 3" xfId="2248" xr:uid="{00000000-0005-0000-0000-000028050000}"/>
    <cellStyle name="Currency 4 3 3 3 4" xfId="2249" xr:uid="{00000000-0005-0000-0000-000029050000}"/>
    <cellStyle name="Currency 4 3 3 3 5" xfId="2250" xr:uid="{00000000-0005-0000-0000-00002A050000}"/>
    <cellStyle name="Currency 4 3 3 4" xfId="2251" xr:uid="{00000000-0005-0000-0000-00002B050000}"/>
    <cellStyle name="Currency 4 3 3 4 2" xfId="2252" xr:uid="{00000000-0005-0000-0000-00002C050000}"/>
    <cellStyle name="Currency 4 3 3 4 3" xfId="2253" xr:uid="{00000000-0005-0000-0000-00002D050000}"/>
    <cellStyle name="Currency 4 3 3 5" xfId="2254" xr:uid="{00000000-0005-0000-0000-00002E050000}"/>
    <cellStyle name="Currency 4 3 3 6" xfId="2255" xr:uid="{00000000-0005-0000-0000-00002F050000}"/>
    <cellStyle name="Currency 4 3 3 7" xfId="2256" xr:uid="{00000000-0005-0000-0000-000030050000}"/>
    <cellStyle name="Currency 4 3 3 8" xfId="2236" xr:uid="{00000000-0005-0000-0000-000031050000}"/>
    <cellStyle name="Currency 4 3 4" xfId="2257" xr:uid="{00000000-0005-0000-0000-000032050000}"/>
    <cellStyle name="Currency 4 3 4 2" xfId="2258" xr:uid="{00000000-0005-0000-0000-000033050000}"/>
    <cellStyle name="Currency 4 3 4 2 2" xfId="2259" xr:uid="{00000000-0005-0000-0000-000034050000}"/>
    <cellStyle name="Currency 4 3 4 2 3" xfId="2260" xr:uid="{00000000-0005-0000-0000-000035050000}"/>
    <cellStyle name="Currency 4 3 4 3" xfId="2261" xr:uid="{00000000-0005-0000-0000-000036050000}"/>
    <cellStyle name="Currency 4 3 4 4" xfId="2262" xr:uid="{00000000-0005-0000-0000-000037050000}"/>
    <cellStyle name="Currency 4 3 4 5" xfId="2263" xr:uid="{00000000-0005-0000-0000-000038050000}"/>
    <cellStyle name="Currency 4 3 5" xfId="2264" xr:uid="{00000000-0005-0000-0000-000039050000}"/>
    <cellStyle name="Currency 4 3 5 2" xfId="2265" xr:uid="{00000000-0005-0000-0000-00003A050000}"/>
    <cellStyle name="Currency 4 3 5 2 2" xfId="2266" xr:uid="{00000000-0005-0000-0000-00003B050000}"/>
    <cellStyle name="Currency 4 3 5 2 3" xfId="2267" xr:uid="{00000000-0005-0000-0000-00003C050000}"/>
    <cellStyle name="Currency 4 3 5 3" xfId="2268" xr:uid="{00000000-0005-0000-0000-00003D050000}"/>
    <cellStyle name="Currency 4 3 5 4" xfId="2269" xr:uid="{00000000-0005-0000-0000-00003E050000}"/>
    <cellStyle name="Currency 4 3 5 5" xfId="2270" xr:uid="{00000000-0005-0000-0000-00003F050000}"/>
    <cellStyle name="Currency 4 3 6" xfId="2271" xr:uid="{00000000-0005-0000-0000-000040050000}"/>
    <cellStyle name="Currency 4 3 6 2" xfId="2272" xr:uid="{00000000-0005-0000-0000-000041050000}"/>
    <cellStyle name="Currency 4 3 6 3" xfId="2273" xr:uid="{00000000-0005-0000-0000-000042050000}"/>
    <cellStyle name="Currency 4 3 7" xfId="2274" xr:uid="{00000000-0005-0000-0000-000043050000}"/>
    <cellStyle name="Currency 4 3 8" xfId="2275" xr:uid="{00000000-0005-0000-0000-000044050000}"/>
    <cellStyle name="Currency 4 3 9" xfId="2276" xr:uid="{00000000-0005-0000-0000-000045050000}"/>
    <cellStyle name="Currency 4 4" xfId="2277" xr:uid="{00000000-0005-0000-0000-000046050000}"/>
    <cellStyle name="Currency 4 4 2" xfId="2278" xr:uid="{00000000-0005-0000-0000-000047050000}"/>
    <cellStyle name="Currency 4 4 2 2" xfId="2279" xr:uid="{00000000-0005-0000-0000-000048050000}"/>
    <cellStyle name="Currency 4 4 2 2 2" xfId="2280" xr:uid="{00000000-0005-0000-0000-000049050000}"/>
    <cellStyle name="Currency 4 4 2 2 2 2" xfId="2281" xr:uid="{00000000-0005-0000-0000-00004A050000}"/>
    <cellStyle name="Currency 4 4 2 2 2 2 2" xfId="2282" xr:uid="{00000000-0005-0000-0000-00004B050000}"/>
    <cellStyle name="Currency 4 4 2 2 2 2 3" xfId="2283" xr:uid="{00000000-0005-0000-0000-00004C050000}"/>
    <cellStyle name="Currency 4 4 2 2 2 3" xfId="2284" xr:uid="{00000000-0005-0000-0000-00004D050000}"/>
    <cellStyle name="Currency 4 4 2 2 2 4" xfId="2285" xr:uid="{00000000-0005-0000-0000-00004E050000}"/>
    <cellStyle name="Currency 4 4 2 2 2 5" xfId="2286" xr:uid="{00000000-0005-0000-0000-00004F050000}"/>
    <cellStyle name="Currency 4 4 2 2 3" xfId="2287" xr:uid="{00000000-0005-0000-0000-000050050000}"/>
    <cellStyle name="Currency 4 4 2 2 3 2" xfId="2288" xr:uid="{00000000-0005-0000-0000-000051050000}"/>
    <cellStyle name="Currency 4 4 2 2 3 2 2" xfId="2289" xr:uid="{00000000-0005-0000-0000-000052050000}"/>
    <cellStyle name="Currency 4 4 2 2 3 2 3" xfId="2290" xr:uid="{00000000-0005-0000-0000-000053050000}"/>
    <cellStyle name="Currency 4 4 2 2 3 3" xfId="2291" xr:uid="{00000000-0005-0000-0000-000054050000}"/>
    <cellStyle name="Currency 4 4 2 2 3 4" xfId="2292" xr:uid="{00000000-0005-0000-0000-000055050000}"/>
    <cellStyle name="Currency 4 4 2 2 3 5" xfId="2293" xr:uid="{00000000-0005-0000-0000-000056050000}"/>
    <cellStyle name="Currency 4 4 2 2 4" xfId="2294" xr:uid="{00000000-0005-0000-0000-000057050000}"/>
    <cellStyle name="Currency 4 4 2 2 4 2" xfId="2295" xr:uid="{00000000-0005-0000-0000-000058050000}"/>
    <cellStyle name="Currency 4 4 2 2 4 3" xfId="2296" xr:uid="{00000000-0005-0000-0000-000059050000}"/>
    <cellStyle name="Currency 4 4 2 2 5" xfId="2297" xr:uid="{00000000-0005-0000-0000-00005A050000}"/>
    <cellStyle name="Currency 4 4 2 2 6" xfId="2298" xr:uid="{00000000-0005-0000-0000-00005B050000}"/>
    <cellStyle name="Currency 4 4 2 2 7" xfId="2299" xr:uid="{00000000-0005-0000-0000-00005C050000}"/>
    <cellStyle name="Currency 4 4 2 3" xfId="2300" xr:uid="{00000000-0005-0000-0000-00005D050000}"/>
    <cellStyle name="Currency 4 4 2 3 2" xfId="2301" xr:uid="{00000000-0005-0000-0000-00005E050000}"/>
    <cellStyle name="Currency 4 4 2 3 2 2" xfId="2302" xr:uid="{00000000-0005-0000-0000-00005F050000}"/>
    <cellStyle name="Currency 4 4 2 3 2 3" xfId="2303" xr:uid="{00000000-0005-0000-0000-000060050000}"/>
    <cellStyle name="Currency 4 4 2 3 3" xfId="2304" xr:uid="{00000000-0005-0000-0000-000061050000}"/>
    <cellStyle name="Currency 4 4 2 3 4" xfId="2305" xr:uid="{00000000-0005-0000-0000-000062050000}"/>
    <cellStyle name="Currency 4 4 2 3 5" xfId="2306" xr:uid="{00000000-0005-0000-0000-000063050000}"/>
    <cellStyle name="Currency 4 4 2 4" xfId="2307" xr:uid="{00000000-0005-0000-0000-000064050000}"/>
    <cellStyle name="Currency 4 4 2 4 2" xfId="2308" xr:uid="{00000000-0005-0000-0000-000065050000}"/>
    <cellStyle name="Currency 4 4 2 4 2 2" xfId="2309" xr:uid="{00000000-0005-0000-0000-000066050000}"/>
    <cellStyle name="Currency 4 4 2 4 2 3" xfId="2310" xr:uid="{00000000-0005-0000-0000-000067050000}"/>
    <cellStyle name="Currency 4 4 2 4 3" xfId="2311" xr:uid="{00000000-0005-0000-0000-000068050000}"/>
    <cellStyle name="Currency 4 4 2 4 4" xfId="2312" xr:uid="{00000000-0005-0000-0000-000069050000}"/>
    <cellStyle name="Currency 4 4 2 4 5" xfId="2313" xr:uid="{00000000-0005-0000-0000-00006A050000}"/>
    <cellStyle name="Currency 4 4 2 5" xfId="2314" xr:uid="{00000000-0005-0000-0000-00006B050000}"/>
    <cellStyle name="Currency 4 4 2 5 2" xfId="2315" xr:uid="{00000000-0005-0000-0000-00006C050000}"/>
    <cellStyle name="Currency 4 4 2 5 3" xfId="2316" xr:uid="{00000000-0005-0000-0000-00006D050000}"/>
    <cellStyle name="Currency 4 4 2 6" xfId="2317" xr:uid="{00000000-0005-0000-0000-00006E050000}"/>
    <cellStyle name="Currency 4 4 2 7" xfId="2318" xr:uid="{00000000-0005-0000-0000-00006F050000}"/>
    <cellStyle name="Currency 4 4 2 8" xfId="2319" xr:uid="{00000000-0005-0000-0000-000070050000}"/>
    <cellStyle name="Currency 4 4 3" xfId="2320" xr:uid="{00000000-0005-0000-0000-000071050000}"/>
    <cellStyle name="Currency 4 4 3 2" xfId="2321" xr:uid="{00000000-0005-0000-0000-000072050000}"/>
    <cellStyle name="Currency 4 4 3 2 2" xfId="2322" xr:uid="{00000000-0005-0000-0000-000073050000}"/>
    <cellStyle name="Currency 4 4 3 2 2 2" xfId="2323" xr:uid="{00000000-0005-0000-0000-000074050000}"/>
    <cellStyle name="Currency 4 4 3 2 2 3" xfId="2324" xr:uid="{00000000-0005-0000-0000-000075050000}"/>
    <cellStyle name="Currency 4 4 3 2 3" xfId="2325" xr:uid="{00000000-0005-0000-0000-000076050000}"/>
    <cellStyle name="Currency 4 4 3 2 4" xfId="2326" xr:uid="{00000000-0005-0000-0000-000077050000}"/>
    <cellStyle name="Currency 4 4 3 2 5" xfId="2327" xr:uid="{00000000-0005-0000-0000-000078050000}"/>
    <cellStyle name="Currency 4 4 3 3" xfId="2328" xr:uid="{00000000-0005-0000-0000-000079050000}"/>
    <cellStyle name="Currency 4 4 3 3 2" xfId="2329" xr:uid="{00000000-0005-0000-0000-00007A050000}"/>
    <cellStyle name="Currency 4 4 3 3 2 2" xfId="2330" xr:uid="{00000000-0005-0000-0000-00007B050000}"/>
    <cellStyle name="Currency 4 4 3 3 2 3" xfId="2331" xr:uid="{00000000-0005-0000-0000-00007C050000}"/>
    <cellStyle name="Currency 4 4 3 3 3" xfId="2332" xr:uid="{00000000-0005-0000-0000-00007D050000}"/>
    <cellStyle name="Currency 4 4 3 3 4" xfId="2333" xr:uid="{00000000-0005-0000-0000-00007E050000}"/>
    <cellStyle name="Currency 4 4 3 3 5" xfId="2334" xr:uid="{00000000-0005-0000-0000-00007F050000}"/>
    <cellStyle name="Currency 4 4 3 4" xfId="2335" xr:uid="{00000000-0005-0000-0000-000080050000}"/>
    <cellStyle name="Currency 4 4 3 4 2" xfId="2336" xr:uid="{00000000-0005-0000-0000-000081050000}"/>
    <cellStyle name="Currency 4 4 3 4 3" xfId="2337" xr:uid="{00000000-0005-0000-0000-000082050000}"/>
    <cellStyle name="Currency 4 4 3 5" xfId="2338" xr:uid="{00000000-0005-0000-0000-000083050000}"/>
    <cellStyle name="Currency 4 4 3 6" xfId="2339" xr:uid="{00000000-0005-0000-0000-000084050000}"/>
    <cellStyle name="Currency 4 4 3 7" xfId="2340" xr:uid="{00000000-0005-0000-0000-000085050000}"/>
    <cellStyle name="Currency 4 4 4" xfId="2341" xr:uid="{00000000-0005-0000-0000-000086050000}"/>
    <cellStyle name="Currency 4 4 4 2" xfId="2342" xr:uid="{00000000-0005-0000-0000-000087050000}"/>
    <cellStyle name="Currency 4 4 4 2 2" xfId="2343" xr:uid="{00000000-0005-0000-0000-000088050000}"/>
    <cellStyle name="Currency 4 4 4 2 3" xfId="2344" xr:uid="{00000000-0005-0000-0000-000089050000}"/>
    <cellStyle name="Currency 4 4 4 3" xfId="2345" xr:uid="{00000000-0005-0000-0000-00008A050000}"/>
    <cellStyle name="Currency 4 4 4 4" xfId="2346" xr:uid="{00000000-0005-0000-0000-00008B050000}"/>
    <cellStyle name="Currency 4 4 4 5" xfId="2347" xr:uid="{00000000-0005-0000-0000-00008C050000}"/>
    <cellStyle name="Currency 4 4 5" xfId="2348" xr:uid="{00000000-0005-0000-0000-00008D050000}"/>
    <cellStyle name="Currency 4 4 5 2" xfId="2349" xr:uid="{00000000-0005-0000-0000-00008E050000}"/>
    <cellStyle name="Currency 4 4 5 2 2" xfId="2350" xr:uid="{00000000-0005-0000-0000-00008F050000}"/>
    <cellStyle name="Currency 4 4 5 2 3" xfId="2351" xr:uid="{00000000-0005-0000-0000-000090050000}"/>
    <cellStyle name="Currency 4 4 5 3" xfId="2352" xr:uid="{00000000-0005-0000-0000-000091050000}"/>
    <cellStyle name="Currency 4 4 5 4" xfId="2353" xr:uid="{00000000-0005-0000-0000-000092050000}"/>
    <cellStyle name="Currency 4 4 5 5" xfId="2354" xr:uid="{00000000-0005-0000-0000-000093050000}"/>
    <cellStyle name="Currency 4 4 6" xfId="2355" xr:uid="{00000000-0005-0000-0000-000094050000}"/>
    <cellStyle name="Currency 4 4 6 2" xfId="2356" xr:uid="{00000000-0005-0000-0000-000095050000}"/>
    <cellStyle name="Currency 4 4 6 3" xfId="2357" xr:uid="{00000000-0005-0000-0000-000096050000}"/>
    <cellStyle name="Currency 4 4 7" xfId="2358" xr:uid="{00000000-0005-0000-0000-000097050000}"/>
    <cellStyle name="Currency 4 4 8" xfId="2359" xr:uid="{00000000-0005-0000-0000-000098050000}"/>
    <cellStyle name="Currency 4 4 9" xfId="2360" xr:uid="{00000000-0005-0000-0000-000099050000}"/>
    <cellStyle name="Currency 4 5" xfId="2361" xr:uid="{00000000-0005-0000-0000-00009A050000}"/>
    <cellStyle name="Currency 4 5 2" xfId="2362" xr:uid="{00000000-0005-0000-0000-00009B050000}"/>
    <cellStyle name="Currency 4 5 2 2" xfId="2363" xr:uid="{00000000-0005-0000-0000-00009C050000}"/>
    <cellStyle name="Currency 4 5 2 2 2" xfId="2364" xr:uid="{00000000-0005-0000-0000-00009D050000}"/>
    <cellStyle name="Currency 4 5 2 2 2 2" xfId="2365" xr:uid="{00000000-0005-0000-0000-00009E050000}"/>
    <cellStyle name="Currency 4 5 2 2 2 2 2" xfId="2366" xr:uid="{00000000-0005-0000-0000-00009F050000}"/>
    <cellStyle name="Currency 4 5 2 2 2 2 3" xfId="2367" xr:uid="{00000000-0005-0000-0000-0000A0050000}"/>
    <cellStyle name="Currency 4 5 2 2 2 3" xfId="2368" xr:uid="{00000000-0005-0000-0000-0000A1050000}"/>
    <cellStyle name="Currency 4 5 2 2 2 4" xfId="2369" xr:uid="{00000000-0005-0000-0000-0000A2050000}"/>
    <cellStyle name="Currency 4 5 2 2 2 5" xfId="2370" xr:uid="{00000000-0005-0000-0000-0000A3050000}"/>
    <cellStyle name="Currency 4 5 2 2 3" xfId="2371" xr:uid="{00000000-0005-0000-0000-0000A4050000}"/>
    <cellStyle name="Currency 4 5 2 2 3 2" xfId="2372" xr:uid="{00000000-0005-0000-0000-0000A5050000}"/>
    <cellStyle name="Currency 4 5 2 2 3 2 2" xfId="2373" xr:uid="{00000000-0005-0000-0000-0000A6050000}"/>
    <cellStyle name="Currency 4 5 2 2 3 2 3" xfId="2374" xr:uid="{00000000-0005-0000-0000-0000A7050000}"/>
    <cellStyle name="Currency 4 5 2 2 3 3" xfId="2375" xr:uid="{00000000-0005-0000-0000-0000A8050000}"/>
    <cellStyle name="Currency 4 5 2 2 3 4" xfId="2376" xr:uid="{00000000-0005-0000-0000-0000A9050000}"/>
    <cellStyle name="Currency 4 5 2 2 3 5" xfId="2377" xr:uid="{00000000-0005-0000-0000-0000AA050000}"/>
    <cellStyle name="Currency 4 5 2 2 4" xfId="2378" xr:uid="{00000000-0005-0000-0000-0000AB050000}"/>
    <cellStyle name="Currency 4 5 2 2 4 2" xfId="2379" xr:uid="{00000000-0005-0000-0000-0000AC050000}"/>
    <cellStyle name="Currency 4 5 2 2 4 3" xfId="2380" xr:uid="{00000000-0005-0000-0000-0000AD050000}"/>
    <cellStyle name="Currency 4 5 2 2 5" xfId="2381" xr:uid="{00000000-0005-0000-0000-0000AE050000}"/>
    <cellStyle name="Currency 4 5 2 2 6" xfId="2382" xr:uid="{00000000-0005-0000-0000-0000AF050000}"/>
    <cellStyle name="Currency 4 5 2 2 7" xfId="2383" xr:uid="{00000000-0005-0000-0000-0000B0050000}"/>
    <cellStyle name="Currency 4 5 2 3" xfId="2384" xr:uid="{00000000-0005-0000-0000-0000B1050000}"/>
    <cellStyle name="Currency 4 5 2 3 2" xfId="2385" xr:uid="{00000000-0005-0000-0000-0000B2050000}"/>
    <cellStyle name="Currency 4 5 2 3 2 2" xfId="2386" xr:uid="{00000000-0005-0000-0000-0000B3050000}"/>
    <cellStyle name="Currency 4 5 2 3 2 3" xfId="2387" xr:uid="{00000000-0005-0000-0000-0000B4050000}"/>
    <cellStyle name="Currency 4 5 2 3 3" xfId="2388" xr:uid="{00000000-0005-0000-0000-0000B5050000}"/>
    <cellStyle name="Currency 4 5 2 3 4" xfId="2389" xr:uid="{00000000-0005-0000-0000-0000B6050000}"/>
    <cellStyle name="Currency 4 5 2 3 5" xfId="2390" xr:uid="{00000000-0005-0000-0000-0000B7050000}"/>
    <cellStyle name="Currency 4 5 2 4" xfId="2391" xr:uid="{00000000-0005-0000-0000-0000B8050000}"/>
    <cellStyle name="Currency 4 5 2 4 2" xfId="2392" xr:uid="{00000000-0005-0000-0000-0000B9050000}"/>
    <cellStyle name="Currency 4 5 2 4 2 2" xfId="2393" xr:uid="{00000000-0005-0000-0000-0000BA050000}"/>
    <cellStyle name="Currency 4 5 2 4 2 3" xfId="2394" xr:uid="{00000000-0005-0000-0000-0000BB050000}"/>
    <cellStyle name="Currency 4 5 2 4 3" xfId="2395" xr:uid="{00000000-0005-0000-0000-0000BC050000}"/>
    <cellStyle name="Currency 4 5 2 4 4" xfId="2396" xr:uid="{00000000-0005-0000-0000-0000BD050000}"/>
    <cellStyle name="Currency 4 5 2 4 5" xfId="2397" xr:uid="{00000000-0005-0000-0000-0000BE050000}"/>
    <cellStyle name="Currency 4 5 2 5" xfId="2398" xr:uid="{00000000-0005-0000-0000-0000BF050000}"/>
    <cellStyle name="Currency 4 5 2 5 2" xfId="2399" xr:uid="{00000000-0005-0000-0000-0000C0050000}"/>
    <cellStyle name="Currency 4 5 2 5 3" xfId="2400" xr:uid="{00000000-0005-0000-0000-0000C1050000}"/>
    <cellStyle name="Currency 4 5 2 6" xfId="2401" xr:uid="{00000000-0005-0000-0000-0000C2050000}"/>
    <cellStyle name="Currency 4 5 2 7" xfId="2402" xr:uid="{00000000-0005-0000-0000-0000C3050000}"/>
    <cellStyle name="Currency 4 5 2 8" xfId="2403" xr:uid="{00000000-0005-0000-0000-0000C4050000}"/>
    <cellStyle name="Currency 4 5 3" xfId="2404" xr:uid="{00000000-0005-0000-0000-0000C5050000}"/>
    <cellStyle name="Currency 4 5 3 2" xfId="2405" xr:uid="{00000000-0005-0000-0000-0000C6050000}"/>
    <cellStyle name="Currency 4 5 3 2 2" xfId="2406" xr:uid="{00000000-0005-0000-0000-0000C7050000}"/>
    <cellStyle name="Currency 4 5 3 2 2 2" xfId="2407" xr:uid="{00000000-0005-0000-0000-0000C8050000}"/>
    <cellStyle name="Currency 4 5 3 2 2 3" xfId="2408" xr:uid="{00000000-0005-0000-0000-0000C9050000}"/>
    <cellStyle name="Currency 4 5 3 2 3" xfId="2409" xr:uid="{00000000-0005-0000-0000-0000CA050000}"/>
    <cellStyle name="Currency 4 5 3 2 4" xfId="2410" xr:uid="{00000000-0005-0000-0000-0000CB050000}"/>
    <cellStyle name="Currency 4 5 3 2 5" xfId="2411" xr:uid="{00000000-0005-0000-0000-0000CC050000}"/>
    <cellStyle name="Currency 4 5 3 3" xfId="2412" xr:uid="{00000000-0005-0000-0000-0000CD050000}"/>
    <cellStyle name="Currency 4 5 3 3 2" xfId="2413" xr:uid="{00000000-0005-0000-0000-0000CE050000}"/>
    <cellStyle name="Currency 4 5 3 3 2 2" xfId="2414" xr:uid="{00000000-0005-0000-0000-0000CF050000}"/>
    <cellStyle name="Currency 4 5 3 3 2 3" xfId="2415" xr:uid="{00000000-0005-0000-0000-0000D0050000}"/>
    <cellStyle name="Currency 4 5 3 3 3" xfId="2416" xr:uid="{00000000-0005-0000-0000-0000D1050000}"/>
    <cellStyle name="Currency 4 5 3 3 4" xfId="2417" xr:uid="{00000000-0005-0000-0000-0000D2050000}"/>
    <cellStyle name="Currency 4 5 3 3 5" xfId="2418" xr:uid="{00000000-0005-0000-0000-0000D3050000}"/>
    <cellStyle name="Currency 4 5 3 4" xfId="2419" xr:uid="{00000000-0005-0000-0000-0000D4050000}"/>
    <cellStyle name="Currency 4 5 3 4 2" xfId="2420" xr:uid="{00000000-0005-0000-0000-0000D5050000}"/>
    <cellStyle name="Currency 4 5 3 4 3" xfId="2421" xr:uid="{00000000-0005-0000-0000-0000D6050000}"/>
    <cellStyle name="Currency 4 5 3 5" xfId="2422" xr:uid="{00000000-0005-0000-0000-0000D7050000}"/>
    <cellStyle name="Currency 4 5 3 6" xfId="2423" xr:uid="{00000000-0005-0000-0000-0000D8050000}"/>
    <cellStyle name="Currency 4 5 3 7" xfId="2424" xr:uid="{00000000-0005-0000-0000-0000D9050000}"/>
    <cellStyle name="Currency 4 5 4" xfId="2425" xr:uid="{00000000-0005-0000-0000-0000DA050000}"/>
    <cellStyle name="Currency 4 5 4 2" xfId="2426" xr:uid="{00000000-0005-0000-0000-0000DB050000}"/>
    <cellStyle name="Currency 4 5 4 2 2" xfId="2427" xr:uid="{00000000-0005-0000-0000-0000DC050000}"/>
    <cellStyle name="Currency 4 5 4 2 3" xfId="2428" xr:uid="{00000000-0005-0000-0000-0000DD050000}"/>
    <cellStyle name="Currency 4 5 4 3" xfId="2429" xr:uid="{00000000-0005-0000-0000-0000DE050000}"/>
    <cellStyle name="Currency 4 5 4 4" xfId="2430" xr:uid="{00000000-0005-0000-0000-0000DF050000}"/>
    <cellStyle name="Currency 4 5 4 5" xfId="2431" xr:uid="{00000000-0005-0000-0000-0000E0050000}"/>
    <cellStyle name="Currency 4 5 5" xfId="2432" xr:uid="{00000000-0005-0000-0000-0000E1050000}"/>
    <cellStyle name="Currency 4 5 5 2" xfId="2433" xr:uid="{00000000-0005-0000-0000-0000E2050000}"/>
    <cellStyle name="Currency 4 5 5 2 2" xfId="2434" xr:uid="{00000000-0005-0000-0000-0000E3050000}"/>
    <cellStyle name="Currency 4 5 5 2 3" xfId="2435" xr:uid="{00000000-0005-0000-0000-0000E4050000}"/>
    <cellStyle name="Currency 4 5 5 3" xfId="2436" xr:uid="{00000000-0005-0000-0000-0000E5050000}"/>
    <cellStyle name="Currency 4 5 5 4" xfId="2437" xr:uid="{00000000-0005-0000-0000-0000E6050000}"/>
    <cellStyle name="Currency 4 5 5 5" xfId="2438" xr:uid="{00000000-0005-0000-0000-0000E7050000}"/>
    <cellStyle name="Currency 4 5 6" xfId="2439" xr:uid="{00000000-0005-0000-0000-0000E8050000}"/>
    <cellStyle name="Currency 4 5 6 2" xfId="2440" xr:uid="{00000000-0005-0000-0000-0000E9050000}"/>
    <cellStyle name="Currency 4 5 6 3" xfId="2441" xr:uid="{00000000-0005-0000-0000-0000EA050000}"/>
    <cellStyle name="Currency 4 5 7" xfId="2442" xr:uid="{00000000-0005-0000-0000-0000EB050000}"/>
    <cellStyle name="Currency 4 5 8" xfId="2443" xr:uid="{00000000-0005-0000-0000-0000EC050000}"/>
    <cellStyle name="Currency 4 5 9" xfId="2444" xr:uid="{00000000-0005-0000-0000-0000ED050000}"/>
    <cellStyle name="Currency 4 6" xfId="2445" xr:uid="{00000000-0005-0000-0000-0000EE050000}"/>
    <cellStyle name="Currency 4 6 2" xfId="2446" xr:uid="{00000000-0005-0000-0000-0000EF050000}"/>
    <cellStyle name="Currency 4 6 2 2" xfId="2447" xr:uid="{00000000-0005-0000-0000-0000F0050000}"/>
    <cellStyle name="Currency 4 6 2 2 2" xfId="2448" xr:uid="{00000000-0005-0000-0000-0000F1050000}"/>
    <cellStyle name="Currency 4 6 2 2 2 2" xfId="2449" xr:uid="{00000000-0005-0000-0000-0000F2050000}"/>
    <cellStyle name="Currency 4 6 2 2 2 3" xfId="2450" xr:uid="{00000000-0005-0000-0000-0000F3050000}"/>
    <cellStyle name="Currency 4 6 2 2 3" xfId="2451" xr:uid="{00000000-0005-0000-0000-0000F4050000}"/>
    <cellStyle name="Currency 4 6 2 2 4" xfId="2452" xr:uid="{00000000-0005-0000-0000-0000F5050000}"/>
    <cellStyle name="Currency 4 6 2 2 5" xfId="2453" xr:uid="{00000000-0005-0000-0000-0000F6050000}"/>
    <cellStyle name="Currency 4 6 2 3" xfId="2454" xr:uid="{00000000-0005-0000-0000-0000F7050000}"/>
    <cellStyle name="Currency 4 6 2 3 2" xfId="2455" xr:uid="{00000000-0005-0000-0000-0000F8050000}"/>
    <cellStyle name="Currency 4 6 2 3 2 2" xfId="2456" xr:uid="{00000000-0005-0000-0000-0000F9050000}"/>
    <cellStyle name="Currency 4 6 2 3 2 3" xfId="2457" xr:uid="{00000000-0005-0000-0000-0000FA050000}"/>
    <cellStyle name="Currency 4 6 2 3 3" xfId="2458" xr:uid="{00000000-0005-0000-0000-0000FB050000}"/>
    <cellStyle name="Currency 4 6 2 3 4" xfId="2459" xr:uid="{00000000-0005-0000-0000-0000FC050000}"/>
    <cellStyle name="Currency 4 6 2 3 5" xfId="2460" xr:uid="{00000000-0005-0000-0000-0000FD050000}"/>
    <cellStyle name="Currency 4 6 2 4" xfId="2461" xr:uid="{00000000-0005-0000-0000-0000FE050000}"/>
    <cellStyle name="Currency 4 6 2 4 2" xfId="2462" xr:uid="{00000000-0005-0000-0000-0000FF050000}"/>
    <cellStyle name="Currency 4 6 2 4 3" xfId="2463" xr:uid="{00000000-0005-0000-0000-000000060000}"/>
    <cellStyle name="Currency 4 6 2 5" xfId="2464" xr:uid="{00000000-0005-0000-0000-000001060000}"/>
    <cellStyle name="Currency 4 6 2 6" xfId="2465" xr:uid="{00000000-0005-0000-0000-000002060000}"/>
    <cellStyle name="Currency 4 6 2 7" xfId="2466" xr:uid="{00000000-0005-0000-0000-000003060000}"/>
    <cellStyle name="Currency 4 6 3" xfId="2467" xr:uid="{00000000-0005-0000-0000-000004060000}"/>
    <cellStyle name="Currency 4 6 3 2" xfId="2468" xr:uid="{00000000-0005-0000-0000-000005060000}"/>
    <cellStyle name="Currency 4 6 3 2 2" xfId="2469" xr:uid="{00000000-0005-0000-0000-000006060000}"/>
    <cellStyle name="Currency 4 6 3 2 3" xfId="2470" xr:uid="{00000000-0005-0000-0000-000007060000}"/>
    <cellStyle name="Currency 4 6 3 3" xfId="2471" xr:uid="{00000000-0005-0000-0000-000008060000}"/>
    <cellStyle name="Currency 4 6 3 4" xfId="2472" xr:uid="{00000000-0005-0000-0000-000009060000}"/>
    <cellStyle name="Currency 4 6 3 5" xfId="2473" xr:uid="{00000000-0005-0000-0000-00000A060000}"/>
    <cellStyle name="Currency 4 6 4" xfId="2474" xr:uid="{00000000-0005-0000-0000-00000B060000}"/>
    <cellStyle name="Currency 4 6 4 2" xfId="2475" xr:uid="{00000000-0005-0000-0000-00000C060000}"/>
    <cellStyle name="Currency 4 6 4 2 2" xfId="2476" xr:uid="{00000000-0005-0000-0000-00000D060000}"/>
    <cellStyle name="Currency 4 6 4 2 3" xfId="2477" xr:uid="{00000000-0005-0000-0000-00000E060000}"/>
    <cellStyle name="Currency 4 6 4 3" xfId="2478" xr:uid="{00000000-0005-0000-0000-00000F060000}"/>
    <cellStyle name="Currency 4 6 4 4" xfId="2479" xr:uid="{00000000-0005-0000-0000-000010060000}"/>
    <cellStyle name="Currency 4 6 4 5" xfId="2480" xr:uid="{00000000-0005-0000-0000-000011060000}"/>
    <cellStyle name="Currency 4 6 5" xfId="2481" xr:uid="{00000000-0005-0000-0000-000012060000}"/>
    <cellStyle name="Currency 4 6 5 2" xfId="2482" xr:uid="{00000000-0005-0000-0000-000013060000}"/>
    <cellStyle name="Currency 4 6 5 3" xfId="2483" xr:uid="{00000000-0005-0000-0000-000014060000}"/>
    <cellStyle name="Currency 4 6 6" xfId="2484" xr:uid="{00000000-0005-0000-0000-000015060000}"/>
    <cellStyle name="Currency 4 6 7" xfId="2485" xr:uid="{00000000-0005-0000-0000-000016060000}"/>
    <cellStyle name="Currency 4 6 8" xfId="2486" xr:uid="{00000000-0005-0000-0000-000017060000}"/>
    <cellStyle name="Currency 4 7" xfId="2487" xr:uid="{00000000-0005-0000-0000-000018060000}"/>
    <cellStyle name="Currency 4 7 2" xfId="2488" xr:uid="{00000000-0005-0000-0000-000019060000}"/>
    <cellStyle name="Currency 4 7 2 2" xfId="2489" xr:uid="{00000000-0005-0000-0000-00001A060000}"/>
    <cellStyle name="Currency 4 7 2 2 2" xfId="2490" xr:uid="{00000000-0005-0000-0000-00001B060000}"/>
    <cellStyle name="Currency 4 7 2 2 3" xfId="2491" xr:uid="{00000000-0005-0000-0000-00001C060000}"/>
    <cellStyle name="Currency 4 7 2 3" xfId="2492" xr:uid="{00000000-0005-0000-0000-00001D060000}"/>
    <cellStyle name="Currency 4 7 2 4" xfId="2493" xr:uid="{00000000-0005-0000-0000-00001E060000}"/>
    <cellStyle name="Currency 4 7 2 5" xfId="2494" xr:uid="{00000000-0005-0000-0000-00001F060000}"/>
    <cellStyle name="Currency 4 7 3" xfId="2495" xr:uid="{00000000-0005-0000-0000-000020060000}"/>
    <cellStyle name="Currency 4 7 3 2" xfId="2496" xr:uid="{00000000-0005-0000-0000-000021060000}"/>
    <cellStyle name="Currency 4 7 3 2 2" xfId="2497" xr:uid="{00000000-0005-0000-0000-000022060000}"/>
    <cellStyle name="Currency 4 7 3 2 3" xfId="2498" xr:uid="{00000000-0005-0000-0000-000023060000}"/>
    <cellStyle name="Currency 4 7 3 3" xfId="2499" xr:uid="{00000000-0005-0000-0000-000024060000}"/>
    <cellStyle name="Currency 4 7 3 4" xfId="2500" xr:uid="{00000000-0005-0000-0000-000025060000}"/>
    <cellStyle name="Currency 4 7 3 5" xfId="2501" xr:uid="{00000000-0005-0000-0000-000026060000}"/>
    <cellStyle name="Currency 4 8" xfId="2502" xr:uid="{00000000-0005-0000-0000-000027060000}"/>
    <cellStyle name="Currency 4 8 2" xfId="2503" xr:uid="{00000000-0005-0000-0000-000028060000}"/>
    <cellStyle name="Currency 4 8 2 2" xfId="2504" xr:uid="{00000000-0005-0000-0000-000029060000}"/>
    <cellStyle name="Currency 4 8 2 2 2" xfId="2505" xr:uid="{00000000-0005-0000-0000-00002A060000}"/>
    <cellStyle name="Currency 4 8 2 2 3" xfId="2506" xr:uid="{00000000-0005-0000-0000-00002B060000}"/>
    <cellStyle name="Currency 4 8 2 3" xfId="2507" xr:uid="{00000000-0005-0000-0000-00002C060000}"/>
    <cellStyle name="Currency 4 8 2 4" xfId="2508" xr:uid="{00000000-0005-0000-0000-00002D060000}"/>
    <cellStyle name="Currency 4 8 2 5" xfId="2509" xr:uid="{00000000-0005-0000-0000-00002E060000}"/>
    <cellStyle name="Currency 4 8 3" xfId="2510" xr:uid="{00000000-0005-0000-0000-00002F060000}"/>
    <cellStyle name="Currency 4 8 3 2" xfId="2511" xr:uid="{00000000-0005-0000-0000-000030060000}"/>
    <cellStyle name="Currency 4 8 3 2 2" xfId="2512" xr:uid="{00000000-0005-0000-0000-000031060000}"/>
    <cellStyle name="Currency 4 8 3 2 3" xfId="2513" xr:uid="{00000000-0005-0000-0000-000032060000}"/>
    <cellStyle name="Currency 4 8 3 3" xfId="2514" xr:uid="{00000000-0005-0000-0000-000033060000}"/>
    <cellStyle name="Currency 4 8 3 4" xfId="2515" xr:uid="{00000000-0005-0000-0000-000034060000}"/>
    <cellStyle name="Currency 4 8 3 5" xfId="2516" xr:uid="{00000000-0005-0000-0000-000035060000}"/>
    <cellStyle name="Currency 4 8 4" xfId="2517" xr:uid="{00000000-0005-0000-0000-000036060000}"/>
    <cellStyle name="Currency 4 8 4 2" xfId="2518" xr:uid="{00000000-0005-0000-0000-000037060000}"/>
    <cellStyle name="Currency 4 8 4 3" xfId="2519" xr:uid="{00000000-0005-0000-0000-000038060000}"/>
    <cellStyle name="Currency 4 8 5" xfId="2520" xr:uid="{00000000-0005-0000-0000-000039060000}"/>
    <cellStyle name="Currency 4 8 6" xfId="2521" xr:uid="{00000000-0005-0000-0000-00003A060000}"/>
    <cellStyle name="Currency 4 8 7" xfId="2522" xr:uid="{00000000-0005-0000-0000-00003B060000}"/>
    <cellStyle name="Currency 4 9" xfId="2523" xr:uid="{00000000-0005-0000-0000-00003C060000}"/>
    <cellStyle name="Currency 4 9 2" xfId="2524" xr:uid="{00000000-0005-0000-0000-00003D060000}"/>
    <cellStyle name="Currency 4 9 2 2" xfId="2525" xr:uid="{00000000-0005-0000-0000-00003E060000}"/>
    <cellStyle name="Currency 4 9 2 3" xfId="2526" xr:uid="{00000000-0005-0000-0000-00003F060000}"/>
    <cellStyle name="Currency 4 9 3" xfId="2527" xr:uid="{00000000-0005-0000-0000-000040060000}"/>
    <cellStyle name="Currency 4 9 4" xfId="2528" xr:uid="{00000000-0005-0000-0000-000041060000}"/>
    <cellStyle name="Currency 4 9 5" xfId="2529" xr:uid="{00000000-0005-0000-0000-000042060000}"/>
    <cellStyle name="Currency 5" xfId="253" xr:uid="{00000000-0005-0000-0000-000043060000}"/>
    <cellStyle name="Currency 5 2" xfId="254" xr:uid="{00000000-0005-0000-0000-000044060000}"/>
    <cellStyle name="Currency 6" xfId="255" xr:uid="{00000000-0005-0000-0000-000045060000}"/>
    <cellStyle name="Currency 6 2" xfId="256" xr:uid="{00000000-0005-0000-0000-000046060000}"/>
    <cellStyle name="Currency 6 3" xfId="482" xr:uid="{00000000-0005-0000-0000-000047060000}"/>
    <cellStyle name="Currency 6 4" xfId="988" xr:uid="{00000000-0005-0000-0000-000048060000}"/>
    <cellStyle name="Currency 7" xfId="257" xr:uid="{00000000-0005-0000-0000-000049060000}"/>
    <cellStyle name="Currency 8" xfId="258" xr:uid="{00000000-0005-0000-0000-00004A060000}"/>
    <cellStyle name="Currency 8 2" xfId="987" xr:uid="{00000000-0005-0000-0000-00004B060000}"/>
    <cellStyle name="Currency 9" xfId="259" xr:uid="{00000000-0005-0000-0000-00004C060000}"/>
    <cellStyle name="Currency 9 2" xfId="986" xr:uid="{00000000-0005-0000-0000-00004D060000}"/>
    <cellStyle name="Currency Input" xfId="655" xr:uid="{00000000-0005-0000-0000-00004E060000}"/>
    <cellStyle name="Currency0" xfId="260" xr:uid="{00000000-0005-0000-0000-00004F060000}"/>
    <cellStyle name="Currency0 2" xfId="2530" xr:uid="{00000000-0005-0000-0000-000050060000}"/>
    <cellStyle name="Currency0 3" xfId="656" xr:uid="{00000000-0005-0000-0000-000051060000}"/>
    <cellStyle name="d" xfId="657" xr:uid="{00000000-0005-0000-0000-000052060000}"/>
    <cellStyle name="d," xfId="658" xr:uid="{00000000-0005-0000-0000-000053060000}"/>
    <cellStyle name="d1" xfId="659" xr:uid="{00000000-0005-0000-0000-000054060000}"/>
    <cellStyle name="d1," xfId="660" xr:uid="{00000000-0005-0000-0000-000055060000}"/>
    <cellStyle name="d2" xfId="661" xr:uid="{00000000-0005-0000-0000-000056060000}"/>
    <cellStyle name="d2," xfId="662" xr:uid="{00000000-0005-0000-0000-000057060000}"/>
    <cellStyle name="d3" xfId="663" xr:uid="{00000000-0005-0000-0000-000058060000}"/>
    <cellStyle name="Dash" xfId="664" xr:uid="{00000000-0005-0000-0000-000059060000}"/>
    <cellStyle name="Date" xfId="261" xr:uid="{00000000-0005-0000-0000-00005A060000}"/>
    <cellStyle name="Date [Abbreviated]" xfId="666" xr:uid="{00000000-0005-0000-0000-00005B060000}"/>
    <cellStyle name="Date [Long Europe]" xfId="667" xr:uid="{00000000-0005-0000-0000-00005C060000}"/>
    <cellStyle name="Date [Long U.S.]" xfId="668" xr:uid="{00000000-0005-0000-0000-00005D060000}"/>
    <cellStyle name="Date [Short Europe]" xfId="669" xr:uid="{00000000-0005-0000-0000-00005E060000}"/>
    <cellStyle name="Date [Short U.S.]" xfId="670" xr:uid="{00000000-0005-0000-0000-00005F060000}"/>
    <cellStyle name="Date 2" xfId="2531" xr:uid="{00000000-0005-0000-0000-000060060000}"/>
    <cellStyle name="Date 3" xfId="665" xr:uid="{00000000-0005-0000-0000-000061060000}"/>
    <cellStyle name="Date 4" xfId="10295" xr:uid="{00000000-0005-0000-0000-000062060000}"/>
    <cellStyle name="Date_ITCM 2010 Template" xfId="671" xr:uid="{00000000-0005-0000-0000-000063060000}"/>
    <cellStyle name="date1" xfId="262" xr:uid="{00000000-0005-0000-0000-000064060000}"/>
    <cellStyle name="Define$0" xfId="672" xr:uid="{00000000-0005-0000-0000-000065060000}"/>
    <cellStyle name="Define$1" xfId="673" xr:uid="{00000000-0005-0000-0000-000066060000}"/>
    <cellStyle name="Define$2" xfId="674" xr:uid="{00000000-0005-0000-0000-000067060000}"/>
    <cellStyle name="Define0" xfId="675" xr:uid="{00000000-0005-0000-0000-000068060000}"/>
    <cellStyle name="Define1" xfId="676" xr:uid="{00000000-0005-0000-0000-000069060000}"/>
    <cellStyle name="Define1x" xfId="677" xr:uid="{00000000-0005-0000-0000-00006A060000}"/>
    <cellStyle name="Define2" xfId="678" xr:uid="{00000000-0005-0000-0000-00006B060000}"/>
    <cellStyle name="Define2x" xfId="679" xr:uid="{00000000-0005-0000-0000-00006C060000}"/>
    <cellStyle name="Dollar" xfId="680" xr:uid="{00000000-0005-0000-0000-00006D060000}"/>
    <cellStyle name="e" xfId="681" xr:uid="{00000000-0005-0000-0000-00006E060000}"/>
    <cellStyle name="e1" xfId="682" xr:uid="{00000000-0005-0000-0000-00006F060000}"/>
    <cellStyle name="e2" xfId="683" xr:uid="{00000000-0005-0000-0000-000070060000}"/>
    <cellStyle name="Euro" xfId="8" xr:uid="{00000000-0005-0000-0000-000071060000}"/>
    <cellStyle name="Euro 2" xfId="684" xr:uid="{00000000-0005-0000-0000-000072060000}"/>
    <cellStyle name="Explanatory Text 2" xfId="263" xr:uid="{00000000-0005-0000-0000-000073060000}"/>
    <cellStyle name="Explanatory Text 2 2" xfId="264" xr:uid="{00000000-0005-0000-0000-000074060000}"/>
    <cellStyle name="Explanatory Text 2 2 2" xfId="2532" xr:uid="{00000000-0005-0000-0000-000075060000}"/>
    <cellStyle name="Explanatory Text 2 3" xfId="265" xr:uid="{00000000-0005-0000-0000-000076060000}"/>
    <cellStyle name="Explanatory Text 2 4" xfId="1097" xr:uid="{00000000-0005-0000-0000-000077060000}"/>
    <cellStyle name="Explanatory Text 3" xfId="2533" xr:uid="{00000000-0005-0000-0000-000078060000}"/>
    <cellStyle name="Explanatory Text 4" xfId="2534" xr:uid="{00000000-0005-0000-0000-000079060000}"/>
    <cellStyle name="Explanatory Text 5" xfId="2535" xr:uid="{00000000-0005-0000-0000-00007A060000}"/>
    <cellStyle name="Explanatory Text 6" xfId="2536" xr:uid="{00000000-0005-0000-0000-00007B060000}"/>
    <cellStyle name="Explanatory Text 7" xfId="2537" xr:uid="{00000000-0005-0000-0000-00007C060000}"/>
    <cellStyle name="Explanatory Text 8" xfId="2538" xr:uid="{00000000-0005-0000-0000-00007D060000}"/>
    <cellStyle name="Explanatory Text 9" xfId="2539" xr:uid="{00000000-0005-0000-0000-00007E060000}"/>
    <cellStyle name="Fixed" xfId="266" xr:uid="{00000000-0005-0000-0000-00007F060000}"/>
    <cellStyle name="Fixed 2" xfId="2540" xr:uid="{00000000-0005-0000-0000-000080060000}"/>
    <cellStyle name="Fixed 3" xfId="685" xr:uid="{00000000-0005-0000-0000-000081060000}"/>
    <cellStyle name="FOOTER - Style1" xfId="686" xr:uid="{00000000-0005-0000-0000-000082060000}"/>
    <cellStyle name="g" xfId="687" xr:uid="{00000000-0005-0000-0000-000083060000}"/>
    <cellStyle name="general" xfId="688" xr:uid="{00000000-0005-0000-0000-000084060000}"/>
    <cellStyle name="General [C]" xfId="689" xr:uid="{00000000-0005-0000-0000-000085060000}"/>
    <cellStyle name="General [R]" xfId="690" xr:uid="{00000000-0005-0000-0000-000086060000}"/>
    <cellStyle name="Good 2" xfId="267" xr:uid="{00000000-0005-0000-0000-000087060000}"/>
    <cellStyle name="Good 2 2" xfId="268" xr:uid="{00000000-0005-0000-0000-000088060000}"/>
    <cellStyle name="Good 2 2 2" xfId="2541" xr:uid="{00000000-0005-0000-0000-000089060000}"/>
    <cellStyle name="Good 2 3" xfId="269" xr:uid="{00000000-0005-0000-0000-00008A060000}"/>
    <cellStyle name="Good 2 4" xfId="1098" xr:uid="{00000000-0005-0000-0000-00008B060000}"/>
    <cellStyle name="Good 3" xfId="2542" xr:uid="{00000000-0005-0000-0000-00008C060000}"/>
    <cellStyle name="Good 4" xfId="2543" xr:uid="{00000000-0005-0000-0000-00008D060000}"/>
    <cellStyle name="Good 5" xfId="2544" xr:uid="{00000000-0005-0000-0000-00008E060000}"/>
    <cellStyle name="Good 6" xfId="2545" xr:uid="{00000000-0005-0000-0000-00008F060000}"/>
    <cellStyle name="Good 7" xfId="2546" xr:uid="{00000000-0005-0000-0000-000090060000}"/>
    <cellStyle name="Good 8" xfId="2547" xr:uid="{00000000-0005-0000-0000-000091060000}"/>
    <cellStyle name="Good 9" xfId="2548" xr:uid="{00000000-0005-0000-0000-000092060000}"/>
    <cellStyle name="Green" xfId="691" xr:uid="{00000000-0005-0000-0000-000093060000}"/>
    <cellStyle name="grey" xfId="692" xr:uid="{00000000-0005-0000-0000-000094060000}"/>
    <cellStyle name="head1" xfId="270" xr:uid="{00000000-0005-0000-0000-000095060000}"/>
    <cellStyle name="Header1" xfId="693" xr:uid="{00000000-0005-0000-0000-000096060000}"/>
    <cellStyle name="Header2" xfId="694" xr:uid="{00000000-0005-0000-0000-000097060000}"/>
    <cellStyle name="Heading" xfId="695" xr:uid="{00000000-0005-0000-0000-000098060000}"/>
    <cellStyle name="Heading 1 2" xfId="271" xr:uid="{00000000-0005-0000-0000-000099060000}"/>
    <cellStyle name="Heading 1 2 2" xfId="272" xr:uid="{00000000-0005-0000-0000-00009A060000}"/>
    <cellStyle name="Heading 1 2 2 2" xfId="2550" xr:uid="{00000000-0005-0000-0000-00009B060000}"/>
    <cellStyle name="Heading 1 2 3" xfId="2549" xr:uid="{00000000-0005-0000-0000-00009C060000}"/>
    <cellStyle name="Heading 1 3" xfId="2551" xr:uid="{00000000-0005-0000-0000-00009D060000}"/>
    <cellStyle name="Heading 1 4" xfId="2552" xr:uid="{00000000-0005-0000-0000-00009E060000}"/>
    <cellStyle name="Heading 1 5" xfId="2553" xr:uid="{00000000-0005-0000-0000-00009F060000}"/>
    <cellStyle name="Heading 1 6" xfId="2554" xr:uid="{00000000-0005-0000-0000-0000A0060000}"/>
    <cellStyle name="Heading 1 7" xfId="2555" xr:uid="{00000000-0005-0000-0000-0000A1060000}"/>
    <cellStyle name="Heading 1 8" xfId="2556" xr:uid="{00000000-0005-0000-0000-0000A2060000}"/>
    <cellStyle name="Heading 1 9" xfId="696" xr:uid="{00000000-0005-0000-0000-0000A3060000}"/>
    <cellStyle name="Heading 2 2" xfId="273" xr:uid="{00000000-0005-0000-0000-0000A4060000}"/>
    <cellStyle name="Heading 2 2 2" xfId="274" xr:uid="{00000000-0005-0000-0000-0000A5060000}"/>
    <cellStyle name="Heading 2 2 2 2" xfId="2557" xr:uid="{00000000-0005-0000-0000-0000A6060000}"/>
    <cellStyle name="Heading 2 2 3" xfId="275" xr:uid="{00000000-0005-0000-0000-0000A7060000}"/>
    <cellStyle name="Heading 2 2 4" xfId="276" xr:uid="{00000000-0005-0000-0000-0000A8060000}"/>
    <cellStyle name="Heading 2 2 5" xfId="698" xr:uid="{00000000-0005-0000-0000-0000A9060000}"/>
    <cellStyle name="Heading 2 3" xfId="2558" xr:uid="{00000000-0005-0000-0000-0000AA060000}"/>
    <cellStyle name="Heading 2 4" xfId="2559" xr:uid="{00000000-0005-0000-0000-0000AB060000}"/>
    <cellStyle name="Heading 2 5" xfId="2560" xr:uid="{00000000-0005-0000-0000-0000AC060000}"/>
    <cellStyle name="Heading 2 6" xfId="2561" xr:uid="{00000000-0005-0000-0000-0000AD060000}"/>
    <cellStyle name="Heading 2 7" xfId="2562" xr:uid="{00000000-0005-0000-0000-0000AE060000}"/>
    <cellStyle name="Heading 2 8" xfId="2563" xr:uid="{00000000-0005-0000-0000-0000AF060000}"/>
    <cellStyle name="Heading 2 9" xfId="697" xr:uid="{00000000-0005-0000-0000-0000B0060000}"/>
    <cellStyle name="Heading 3 2" xfId="277" xr:uid="{00000000-0005-0000-0000-0000B1060000}"/>
    <cellStyle name="Heading 3 2 2" xfId="278" xr:uid="{00000000-0005-0000-0000-0000B2060000}"/>
    <cellStyle name="Heading 3 2 3" xfId="279" xr:uid="{00000000-0005-0000-0000-0000B3060000}"/>
    <cellStyle name="Heading 3 2 4" xfId="280" xr:uid="{00000000-0005-0000-0000-0000B4060000}"/>
    <cellStyle name="Heading 3 2 5" xfId="1100" xr:uid="{00000000-0005-0000-0000-0000B5060000}"/>
    <cellStyle name="Heading 3 3" xfId="2564" xr:uid="{00000000-0005-0000-0000-0000B6060000}"/>
    <cellStyle name="Heading 3 4" xfId="2565" xr:uid="{00000000-0005-0000-0000-0000B7060000}"/>
    <cellStyle name="Heading 3 5" xfId="2566" xr:uid="{00000000-0005-0000-0000-0000B8060000}"/>
    <cellStyle name="Heading 3 6" xfId="2567" xr:uid="{00000000-0005-0000-0000-0000B9060000}"/>
    <cellStyle name="Heading 3 7" xfId="2568" xr:uid="{00000000-0005-0000-0000-0000BA060000}"/>
    <cellStyle name="Heading 3 8" xfId="2569" xr:uid="{00000000-0005-0000-0000-0000BB060000}"/>
    <cellStyle name="Heading 3 9" xfId="2570" xr:uid="{00000000-0005-0000-0000-0000BC060000}"/>
    <cellStyle name="Heading 4 2" xfId="281" xr:uid="{00000000-0005-0000-0000-0000BD060000}"/>
    <cellStyle name="Heading 4 2 2" xfId="282" xr:uid="{00000000-0005-0000-0000-0000BE060000}"/>
    <cellStyle name="Heading 4 2 3" xfId="1101" xr:uid="{00000000-0005-0000-0000-0000BF060000}"/>
    <cellStyle name="Heading 4 3" xfId="2571" xr:uid="{00000000-0005-0000-0000-0000C0060000}"/>
    <cellStyle name="Heading 4 4" xfId="2572" xr:uid="{00000000-0005-0000-0000-0000C1060000}"/>
    <cellStyle name="Heading 4 5" xfId="2573" xr:uid="{00000000-0005-0000-0000-0000C2060000}"/>
    <cellStyle name="Heading 4 6" xfId="2574" xr:uid="{00000000-0005-0000-0000-0000C3060000}"/>
    <cellStyle name="Heading 4 7" xfId="2575" xr:uid="{00000000-0005-0000-0000-0000C4060000}"/>
    <cellStyle name="Heading 4 8" xfId="2576" xr:uid="{00000000-0005-0000-0000-0000C5060000}"/>
    <cellStyle name="Heading 4 9" xfId="2577" xr:uid="{00000000-0005-0000-0000-0000C6060000}"/>
    <cellStyle name="Heading 5" xfId="9856" xr:uid="{00000000-0005-0000-0000-0000C7060000}"/>
    <cellStyle name="Heading No Underline" xfId="699" xr:uid="{00000000-0005-0000-0000-0000C8060000}"/>
    <cellStyle name="Heading With Underline" xfId="700" xr:uid="{00000000-0005-0000-0000-0000C9060000}"/>
    <cellStyle name="Heading1" xfId="701" xr:uid="{00000000-0005-0000-0000-0000CA060000}"/>
    <cellStyle name="Heading1 2" xfId="9857" xr:uid="{00000000-0005-0000-0000-0000CB060000}"/>
    <cellStyle name="Heading2" xfId="702" xr:uid="{00000000-0005-0000-0000-0000CC060000}"/>
    <cellStyle name="Headline" xfId="703" xr:uid="{00000000-0005-0000-0000-0000CD060000}"/>
    <cellStyle name="Highlight" xfId="704" xr:uid="{00000000-0005-0000-0000-0000CE060000}"/>
    <cellStyle name="Hyperlink 2" xfId="283" xr:uid="{00000000-0005-0000-0000-0000CF060000}"/>
    <cellStyle name="in" xfId="705" xr:uid="{00000000-0005-0000-0000-0000D0060000}"/>
    <cellStyle name="Indented [0]" xfId="706" xr:uid="{00000000-0005-0000-0000-0000D1060000}"/>
    <cellStyle name="Indented [2]" xfId="707" xr:uid="{00000000-0005-0000-0000-0000D2060000}"/>
    <cellStyle name="Indented [4]" xfId="708" xr:uid="{00000000-0005-0000-0000-0000D3060000}"/>
    <cellStyle name="Indented [6]" xfId="709" xr:uid="{00000000-0005-0000-0000-0000D4060000}"/>
    <cellStyle name="Input [yellow]" xfId="710" xr:uid="{00000000-0005-0000-0000-0000D5060000}"/>
    <cellStyle name="Input 2" xfId="284" xr:uid="{00000000-0005-0000-0000-0000D6060000}"/>
    <cellStyle name="Input 2 2" xfId="285" xr:uid="{00000000-0005-0000-0000-0000D7060000}"/>
    <cellStyle name="Input 2 2 2" xfId="2578" xr:uid="{00000000-0005-0000-0000-0000D8060000}"/>
    <cellStyle name="Input 2 3" xfId="286" xr:uid="{00000000-0005-0000-0000-0000D9060000}"/>
    <cellStyle name="Input 2 4" xfId="1102" xr:uid="{00000000-0005-0000-0000-0000DA060000}"/>
    <cellStyle name="Input 3" xfId="1144" xr:uid="{00000000-0005-0000-0000-0000DB060000}"/>
    <cellStyle name="Input 4" xfId="1137" xr:uid="{00000000-0005-0000-0000-0000DC060000}"/>
    <cellStyle name="Input 5" xfId="2579" xr:uid="{00000000-0005-0000-0000-0000DD060000}"/>
    <cellStyle name="Input 6" xfId="2580" xr:uid="{00000000-0005-0000-0000-0000DE060000}"/>
    <cellStyle name="Input 7" xfId="2581" xr:uid="{00000000-0005-0000-0000-0000DF060000}"/>
    <cellStyle name="Input 8" xfId="2582" xr:uid="{00000000-0005-0000-0000-0000E0060000}"/>
    <cellStyle name="Input 9" xfId="2583" xr:uid="{00000000-0005-0000-0000-0000E1060000}"/>
    <cellStyle name="Input$0" xfId="711" xr:uid="{00000000-0005-0000-0000-0000E2060000}"/>
    <cellStyle name="Input$1" xfId="712" xr:uid="{00000000-0005-0000-0000-0000E3060000}"/>
    <cellStyle name="Input$2" xfId="713" xr:uid="{00000000-0005-0000-0000-0000E4060000}"/>
    <cellStyle name="Input0" xfId="714" xr:uid="{00000000-0005-0000-0000-0000E5060000}"/>
    <cellStyle name="Input1" xfId="715" xr:uid="{00000000-0005-0000-0000-0000E6060000}"/>
    <cellStyle name="Input1x" xfId="716" xr:uid="{00000000-0005-0000-0000-0000E7060000}"/>
    <cellStyle name="Input2" xfId="717" xr:uid="{00000000-0005-0000-0000-0000E8060000}"/>
    <cellStyle name="Input2x" xfId="718" xr:uid="{00000000-0005-0000-0000-0000E9060000}"/>
    <cellStyle name="lborder" xfId="719" xr:uid="{00000000-0005-0000-0000-0000EA060000}"/>
    <cellStyle name="LeftSubtitle" xfId="720" xr:uid="{00000000-0005-0000-0000-0000EB060000}"/>
    <cellStyle name="Lines" xfId="721" xr:uid="{00000000-0005-0000-0000-0000EC060000}"/>
    <cellStyle name="Linked Cell 2" xfId="287" xr:uid="{00000000-0005-0000-0000-0000ED060000}"/>
    <cellStyle name="Linked Cell 2 2" xfId="2584" xr:uid="{00000000-0005-0000-0000-0000EE060000}"/>
    <cellStyle name="Linked Cell 2 3" xfId="1103" xr:uid="{00000000-0005-0000-0000-0000EF060000}"/>
    <cellStyle name="Linked Cell 3" xfId="2585" xr:uid="{00000000-0005-0000-0000-0000F0060000}"/>
    <cellStyle name="Linked Cell 4" xfId="2586" xr:uid="{00000000-0005-0000-0000-0000F1060000}"/>
    <cellStyle name="Linked Cell 5" xfId="2587" xr:uid="{00000000-0005-0000-0000-0000F2060000}"/>
    <cellStyle name="Linked Cell 6" xfId="2588" xr:uid="{00000000-0005-0000-0000-0000F3060000}"/>
    <cellStyle name="Linked Cell 7" xfId="2589" xr:uid="{00000000-0005-0000-0000-0000F4060000}"/>
    <cellStyle name="Linked Cell 8" xfId="2590" xr:uid="{00000000-0005-0000-0000-0000F5060000}"/>
    <cellStyle name="Linked Cell 9" xfId="2591" xr:uid="{00000000-0005-0000-0000-0000F6060000}"/>
    <cellStyle name="m" xfId="722" xr:uid="{00000000-0005-0000-0000-0000F7060000}"/>
    <cellStyle name="m1" xfId="723" xr:uid="{00000000-0005-0000-0000-0000F8060000}"/>
    <cellStyle name="m2" xfId="724" xr:uid="{00000000-0005-0000-0000-0000F9060000}"/>
    <cellStyle name="m3" xfId="725" xr:uid="{00000000-0005-0000-0000-0000FA060000}"/>
    <cellStyle name="Millares_repenerconsomarzobis" xfId="288" xr:uid="{00000000-0005-0000-0000-0000FB060000}"/>
    <cellStyle name="Multiple" xfId="726" xr:uid="{00000000-0005-0000-0000-0000FC060000}"/>
    <cellStyle name="Negative" xfId="727" xr:uid="{00000000-0005-0000-0000-0000FD060000}"/>
    <cellStyle name="Neutral 2" xfId="289" xr:uid="{00000000-0005-0000-0000-0000FE060000}"/>
    <cellStyle name="Neutral 2 2" xfId="2592" xr:uid="{00000000-0005-0000-0000-0000FF060000}"/>
    <cellStyle name="Neutral 2 3" xfId="1104" xr:uid="{00000000-0005-0000-0000-000000070000}"/>
    <cellStyle name="Neutral 3" xfId="2593" xr:uid="{00000000-0005-0000-0000-000001070000}"/>
    <cellStyle name="Neutral 4" xfId="2594" xr:uid="{00000000-0005-0000-0000-000002070000}"/>
    <cellStyle name="Neutral 5" xfId="2595" xr:uid="{00000000-0005-0000-0000-000003070000}"/>
    <cellStyle name="Neutral 6" xfId="2596" xr:uid="{00000000-0005-0000-0000-000004070000}"/>
    <cellStyle name="Neutral 7" xfId="2597" xr:uid="{00000000-0005-0000-0000-000005070000}"/>
    <cellStyle name="Neutral 8" xfId="2598" xr:uid="{00000000-0005-0000-0000-000006070000}"/>
    <cellStyle name="Neutral 9" xfId="2599" xr:uid="{00000000-0005-0000-0000-000007070000}"/>
    <cellStyle name="no dec" xfId="728" xr:uid="{00000000-0005-0000-0000-000008070000}"/>
    <cellStyle name="Normal" xfId="0" builtinId="0"/>
    <cellStyle name="Normal - Style1" xfId="290" xr:uid="{00000000-0005-0000-0000-00000A070000}"/>
    <cellStyle name="Normal - Style1 2" xfId="729" xr:uid="{00000000-0005-0000-0000-00000B070000}"/>
    <cellStyle name="Normal 10" xfId="40" xr:uid="{00000000-0005-0000-0000-00000C070000}"/>
    <cellStyle name="Normal 10 10" xfId="1342" xr:uid="{00000000-0005-0000-0000-00000D070000}"/>
    <cellStyle name="Normal 10 10 2" xfId="10076" xr:uid="{00000000-0005-0000-0000-00000E070000}"/>
    <cellStyle name="Normal 10 11" xfId="9858" xr:uid="{00000000-0005-0000-0000-00000F070000}"/>
    <cellStyle name="Normal 10 12" xfId="730" xr:uid="{00000000-0005-0000-0000-000010070000}"/>
    <cellStyle name="Normal 10 2" xfId="888" xr:uid="{00000000-0005-0000-0000-000011070000}"/>
    <cellStyle name="Normal 10 2 2" xfId="1201" xr:uid="{00000000-0005-0000-0000-000012070000}"/>
    <cellStyle name="Normal 10 2 2 2" xfId="522" xr:uid="{00000000-0005-0000-0000-000013070000}"/>
    <cellStyle name="Normal 10 2 2 2 2" xfId="10161" xr:uid="{00000000-0005-0000-0000-000014070000}"/>
    <cellStyle name="Normal 10 2 2 2 3" xfId="1427" xr:uid="{00000000-0005-0000-0000-000015070000}"/>
    <cellStyle name="Normal 10 2 2 3" xfId="9945" xr:uid="{00000000-0005-0000-0000-000016070000}"/>
    <cellStyle name="Normal 10 2 3" xfId="1283" xr:uid="{00000000-0005-0000-0000-000017070000}"/>
    <cellStyle name="Normal 10 2 3 2" xfId="1499" xr:uid="{00000000-0005-0000-0000-000018070000}"/>
    <cellStyle name="Normal 10 2 3 2 2" xfId="10233" xr:uid="{00000000-0005-0000-0000-000019070000}"/>
    <cellStyle name="Normal 10 2 3 3" xfId="10017" xr:uid="{00000000-0005-0000-0000-00001A070000}"/>
    <cellStyle name="Normal 10 2 4" xfId="1355" xr:uid="{00000000-0005-0000-0000-00001B070000}"/>
    <cellStyle name="Normal 10 2 4 2" xfId="10089" xr:uid="{00000000-0005-0000-0000-00001C070000}"/>
    <cellStyle name="Normal 10 2 5" xfId="9873" xr:uid="{00000000-0005-0000-0000-00001D070000}"/>
    <cellStyle name="Normal 10 3" xfId="920" xr:uid="{00000000-0005-0000-0000-00001E070000}"/>
    <cellStyle name="Normal 10 3 2" xfId="1214" xr:uid="{00000000-0005-0000-0000-00001F070000}"/>
    <cellStyle name="Normal 10 3 2 2" xfId="1440" xr:uid="{00000000-0005-0000-0000-000020070000}"/>
    <cellStyle name="Normal 10 3 2 2 2" xfId="10174" xr:uid="{00000000-0005-0000-0000-000021070000}"/>
    <cellStyle name="Normal 10 3 2 3" xfId="9958" xr:uid="{00000000-0005-0000-0000-000022070000}"/>
    <cellStyle name="Normal 10 3 3" xfId="1296" xr:uid="{00000000-0005-0000-0000-000023070000}"/>
    <cellStyle name="Normal 10 3 3 2" xfId="1512" xr:uid="{00000000-0005-0000-0000-000024070000}"/>
    <cellStyle name="Normal 10 3 3 2 2" xfId="10246" xr:uid="{00000000-0005-0000-0000-000025070000}"/>
    <cellStyle name="Normal 10 3 3 3" xfId="10030" xr:uid="{00000000-0005-0000-0000-000026070000}"/>
    <cellStyle name="Normal 10 3 4" xfId="1368" xr:uid="{00000000-0005-0000-0000-000027070000}"/>
    <cellStyle name="Normal 10 3 4 2" xfId="10102" xr:uid="{00000000-0005-0000-0000-000028070000}"/>
    <cellStyle name="Normal 10 3 5" xfId="9886" xr:uid="{00000000-0005-0000-0000-000029070000}"/>
    <cellStyle name="Normal 10 4" xfId="1118" xr:uid="{00000000-0005-0000-0000-00002A070000}"/>
    <cellStyle name="Normal 10 4 2" xfId="1231" xr:uid="{00000000-0005-0000-0000-00002B070000}"/>
    <cellStyle name="Normal 10 4 2 2" xfId="1457" xr:uid="{00000000-0005-0000-0000-00002C070000}"/>
    <cellStyle name="Normal 10 4 2 2 2" xfId="10191" xr:uid="{00000000-0005-0000-0000-00002D070000}"/>
    <cellStyle name="Normal 10 4 2 3" xfId="9975" xr:uid="{00000000-0005-0000-0000-00002E070000}"/>
    <cellStyle name="Normal 10 4 3" xfId="1313" xr:uid="{00000000-0005-0000-0000-00002F070000}"/>
    <cellStyle name="Normal 10 4 3 2" xfId="1529" xr:uid="{00000000-0005-0000-0000-000030070000}"/>
    <cellStyle name="Normal 10 4 3 2 2" xfId="10263" xr:uid="{00000000-0005-0000-0000-000031070000}"/>
    <cellStyle name="Normal 10 4 3 3" xfId="10047" xr:uid="{00000000-0005-0000-0000-000032070000}"/>
    <cellStyle name="Normal 10 4 4" xfId="1385" xr:uid="{00000000-0005-0000-0000-000033070000}"/>
    <cellStyle name="Normal 10 4 4 2" xfId="10119" xr:uid="{00000000-0005-0000-0000-000034070000}"/>
    <cellStyle name="Normal 10 4 5" xfId="9903" xr:uid="{00000000-0005-0000-0000-000035070000}"/>
    <cellStyle name="Normal 10 5" xfId="1131" xr:uid="{00000000-0005-0000-0000-000036070000}"/>
    <cellStyle name="Normal 10 5 2" xfId="1237" xr:uid="{00000000-0005-0000-0000-000037070000}"/>
    <cellStyle name="Normal 10 5 2 2" xfId="1463" xr:uid="{00000000-0005-0000-0000-000038070000}"/>
    <cellStyle name="Normal 10 5 2 2 2" xfId="10197" xr:uid="{00000000-0005-0000-0000-000039070000}"/>
    <cellStyle name="Normal 10 5 2 3" xfId="9981" xr:uid="{00000000-0005-0000-0000-00003A070000}"/>
    <cellStyle name="Normal 10 5 3" xfId="1319" xr:uid="{00000000-0005-0000-0000-00003B070000}"/>
    <cellStyle name="Normal 10 5 3 2" xfId="1535" xr:uid="{00000000-0005-0000-0000-00003C070000}"/>
    <cellStyle name="Normal 10 5 3 2 2" xfId="10269" xr:uid="{00000000-0005-0000-0000-00003D070000}"/>
    <cellStyle name="Normal 10 5 3 3" xfId="10053" xr:uid="{00000000-0005-0000-0000-00003E070000}"/>
    <cellStyle name="Normal 10 5 4" xfId="1391" xr:uid="{00000000-0005-0000-0000-00003F070000}"/>
    <cellStyle name="Normal 10 5 4 2" xfId="10125" xr:uid="{00000000-0005-0000-0000-000040070000}"/>
    <cellStyle name="Normal 10 5 5" xfId="9909" xr:uid="{00000000-0005-0000-0000-000041070000}"/>
    <cellStyle name="Normal 10 6" xfId="1148" xr:uid="{00000000-0005-0000-0000-000042070000}"/>
    <cellStyle name="Normal 10 6 2" xfId="1251" xr:uid="{00000000-0005-0000-0000-000043070000}"/>
    <cellStyle name="Normal 10 6 2 2" xfId="1467" xr:uid="{00000000-0005-0000-0000-000044070000}"/>
    <cellStyle name="Normal 10 6 2 2 2" xfId="10201" xr:uid="{00000000-0005-0000-0000-000045070000}"/>
    <cellStyle name="Normal 10 6 2 3" xfId="9985" xr:uid="{00000000-0005-0000-0000-000046070000}"/>
    <cellStyle name="Normal 10 6 3" xfId="1323" xr:uid="{00000000-0005-0000-0000-000047070000}"/>
    <cellStyle name="Normal 10 6 3 2" xfId="1539" xr:uid="{00000000-0005-0000-0000-000048070000}"/>
    <cellStyle name="Normal 10 6 3 2 2" xfId="10273" xr:uid="{00000000-0005-0000-0000-000049070000}"/>
    <cellStyle name="Normal 10 6 3 3" xfId="10057" xr:uid="{00000000-0005-0000-0000-00004A070000}"/>
    <cellStyle name="Normal 10 6 4" xfId="1395" xr:uid="{00000000-0005-0000-0000-00004B070000}"/>
    <cellStyle name="Normal 10 6 4 2" xfId="10129" xr:uid="{00000000-0005-0000-0000-00004C070000}"/>
    <cellStyle name="Normal 10 6 5" xfId="9913" xr:uid="{00000000-0005-0000-0000-00004D070000}"/>
    <cellStyle name="Normal 10 7" xfId="1173" xr:uid="{00000000-0005-0000-0000-00004E070000}"/>
    <cellStyle name="Normal 10 7 2" xfId="1266" xr:uid="{00000000-0005-0000-0000-00004F070000}"/>
    <cellStyle name="Normal 10 7 2 2" xfId="1482" xr:uid="{00000000-0005-0000-0000-000050070000}"/>
    <cellStyle name="Normal 10 7 2 2 2" xfId="10216" xr:uid="{00000000-0005-0000-0000-000051070000}"/>
    <cellStyle name="Normal 10 7 2 3" xfId="10000" xr:uid="{00000000-0005-0000-0000-000052070000}"/>
    <cellStyle name="Normal 10 7 3" xfId="1338" xr:uid="{00000000-0005-0000-0000-000053070000}"/>
    <cellStyle name="Normal 10 7 3 2" xfId="1554" xr:uid="{00000000-0005-0000-0000-000054070000}"/>
    <cellStyle name="Normal 10 7 3 2 2" xfId="10288" xr:uid="{00000000-0005-0000-0000-000055070000}"/>
    <cellStyle name="Normal 10 7 3 3" xfId="10072" xr:uid="{00000000-0005-0000-0000-000056070000}"/>
    <cellStyle name="Normal 10 7 4" xfId="1410" xr:uid="{00000000-0005-0000-0000-000057070000}"/>
    <cellStyle name="Normal 10 7 4 2" xfId="10144" xr:uid="{00000000-0005-0000-0000-000058070000}"/>
    <cellStyle name="Normal 10 7 5" xfId="9928" xr:uid="{00000000-0005-0000-0000-000059070000}"/>
    <cellStyle name="Normal 10 8" xfId="1187" xr:uid="{00000000-0005-0000-0000-00005A070000}"/>
    <cellStyle name="Normal 10 8 2" xfId="1414" xr:uid="{00000000-0005-0000-0000-00005B070000}"/>
    <cellStyle name="Normal 10 8 2 2" xfId="10148" xr:uid="{00000000-0005-0000-0000-00005C070000}"/>
    <cellStyle name="Normal 10 8 3" xfId="9932" xr:uid="{00000000-0005-0000-0000-00005D070000}"/>
    <cellStyle name="Normal 10 9" xfId="1270" xr:uid="{00000000-0005-0000-0000-00005E070000}"/>
    <cellStyle name="Normal 10 9 2" xfId="1486" xr:uid="{00000000-0005-0000-0000-00005F070000}"/>
    <cellStyle name="Normal 10 9 2 2" xfId="10220" xr:uid="{00000000-0005-0000-0000-000060070000}"/>
    <cellStyle name="Normal 10 9 3" xfId="10004" xr:uid="{00000000-0005-0000-0000-000061070000}"/>
    <cellStyle name="Normal 11" xfId="291" xr:uid="{00000000-0005-0000-0000-000062070000}"/>
    <cellStyle name="Normal 11 2" xfId="483" xr:uid="{00000000-0005-0000-0000-000063070000}"/>
    <cellStyle name="Normal 11 2 2" xfId="1232" xr:uid="{00000000-0005-0000-0000-000064070000}"/>
    <cellStyle name="Normal 11 2 2 2" xfId="1458" xr:uid="{00000000-0005-0000-0000-000065070000}"/>
    <cellStyle name="Normal 11 2 2 2 2" xfId="10192" xr:uid="{00000000-0005-0000-0000-000066070000}"/>
    <cellStyle name="Normal 11 2 2 3" xfId="9976" xr:uid="{00000000-0005-0000-0000-000067070000}"/>
    <cellStyle name="Normal 11 2 3" xfId="1314" xr:uid="{00000000-0005-0000-0000-000068070000}"/>
    <cellStyle name="Normal 11 2 3 2" xfId="1530" xr:uid="{00000000-0005-0000-0000-000069070000}"/>
    <cellStyle name="Normal 11 2 3 2 2" xfId="10264" xr:uid="{00000000-0005-0000-0000-00006A070000}"/>
    <cellStyle name="Normal 11 2 3 3" xfId="10048" xr:uid="{00000000-0005-0000-0000-00006B070000}"/>
    <cellStyle name="Normal 11 2 4" xfId="1386" xr:uid="{00000000-0005-0000-0000-00006C070000}"/>
    <cellStyle name="Normal 11 2 4 2" xfId="10120" xr:uid="{00000000-0005-0000-0000-00006D070000}"/>
    <cellStyle name="Normal 11 2 5" xfId="9904" xr:uid="{00000000-0005-0000-0000-00006E070000}"/>
    <cellStyle name="Normal 11 2 6" xfId="1119" xr:uid="{00000000-0005-0000-0000-00006F070000}"/>
    <cellStyle name="Normal 11 3" xfId="1132" xr:uid="{00000000-0005-0000-0000-000070070000}"/>
    <cellStyle name="Normal 11 3 2" xfId="1238" xr:uid="{00000000-0005-0000-0000-000071070000}"/>
    <cellStyle name="Normal 11 3 2 2" xfId="1464" xr:uid="{00000000-0005-0000-0000-000072070000}"/>
    <cellStyle name="Normal 11 3 2 2 2" xfId="10198" xr:uid="{00000000-0005-0000-0000-000073070000}"/>
    <cellStyle name="Normal 11 3 2 3" xfId="9982" xr:uid="{00000000-0005-0000-0000-000074070000}"/>
    <cellStyle name="Normal 11 3 3" xfId="1320" xr:uid="{00000000-0005-0000-0000-000075070000}"/>
    <cellStyle name="Normal 11 3 3 2" xfId="1536" xr:uid="{00000000-0005-0000-0000-000076070000}"/>
    <cellStyle name="Normal 11 3 3 2 2" xfId="10270" xr:uid="{00000000-0005-0000-0000-000077070000}"/>
    <cellStyle name="Normal 11 3 3 3" xfId="10054" xr:uid="{00000000-0005-0000-0000-000078070000}"/>
    <cellStyle name="Normal 11 3 4" xfId="1392" xr:uid="{00000000-0005-0000-0000-000079070000}"/>
    <cellStyle name="Normal 11 3 4 2" xfId="10126" xr:uid="{00000000-0005-0000-0000-00007A070000}"/>
    <cellStyle name="Normal 11 3 5" xfId="9910" xr:uid="{00000000-0005-0000-0000-00007B070000}"/>
    <cellStyle name="Normal 11 4" xfId="1174" xr:uid="{00000000-0005-0000-0000-00007C070000}"/>
    <cellStyle name="Normal 11 4 2" xfId="1267" xr:uid="{00000000-0005-0000-0000-00007D070000}"/>
    <cellStyle name="Normal 11 4 2 2" xfId="1483" xr:uid="{00000000-0005-0000-0000-00007E070000}"/>
    <cellStyle name="Normal 11 4 2 2 2" xfId="10217" xr:uid="{00000000-0005-0000-0000-00007F070000}"/>
    <cellStyle name="Normal 11 4 2 3" xfId="10001" xr:uid="{00000000-0005-0000-0000-000080070000}"/>
    <cellStyle name="Normal 11 4 3" xfId="1339" xr:uid="{00000000-0005-0000-0000-000081070000}"/>
    <cellStyle name="Normal 11 4 3 2" xfId="1555" xr:uid="{00000000-0005-0000-0000-000082070000}"/>
    <cellStyle name="Normal 11 4 3 2 2" xfId="10289" xr:uid="{00000000-0005-0000-0000-000083070000}"/>
    <cellStyle name="Normal 11 4 3 3" xfId="10073" xr:uid="{00000000-0005-0000-0000-000084070000}"/>
    <cellStyle name="Normal 11 4 4" xfId="1411" xr:uid="{00000000-0005-0000-0000-000085070000}"/>
    <cellStyle name="Normal 11 4 4 2" xfId="10145" xr:uid="{00000000-0005-0000-0000-000086070000}"/>
    <cellStyle name="Normal 11 4 5" xfId="9929" xr:uid="{00000000-0005-0000-0000-000087070000}"/>
    <cellStyle name="Normal 11 5" xfId="731" xr:uid="{00000000-0005-0000-0000-000088070000}"/>
    <cellStyle name="Normal 115 2" xfId="557" xr:uid="{00000000-0005-0000-0000-000089070000}"/>
    <cellStyle name="Normal 12" xfId="292" xr:uid="{00000000-0005-0000-0000-00008A070000}"/>
    <cellStyle name="Normal 12 2" xfId="484" xr:uid="{00000000-0005-0000-0000-00008B070000}"/>
    <cellStyle name="Normal 12 2 2" xfId="1120" xr:uid="{00000000-0005-0000-0000-00008C070000}"/>
    <cellStyle name="Normal 12 3" xfId="1200" xr:uid="{00000000-0005-0000-0000-00008D070000}"/>
    <cellStyle name="Normal 12 4" xfId="1558" xr:uid="{00000000-0005-0000-0000-00008E070000}"/>
    <cellStyle name="Normal 12 4 2" xfId="10292" xr:uid="{00000000-0005-0000-0000-00008F070000}"/>
    <cellStyle name="Normal 12 5" xfId="886" xr:uid="{00000000-0005-0000-0000-000090070000}"/>
    <cellStyle name="Normal 13" xfId="293" xr:uid="{00000000-0005-0000-0000-000091070000}"/>
    <cellStyle name="Normal 13 2" xfId="485" xr:uid="{00000000-0005-0000-0000-000092070000}"/>
    <cellStyle name="Normal 13 2 2" xfId="2601" xr:uid="{00000000-0005-0000-0000-000093070000}"/>
    <cellStyle name="Normal 13 2 3" xfId="2602" xr:uid="{00000000-0005-0000-0000-000094070000}"/>
    <cellStyle name="Normal 13 2 4" xfId="2600" xr:uid="{00000000-0005-0000-0000-000095070000}"/>
    <cellStyle name="Normal 13 3" xfId="2603" xr:uid="{00000000-0005-0000-0000-000096070000}"/>
    <cellStyle name="Normal 13 4" xfId="2604" xr:uid="{00000000-0005-0000-0000-000097070000}"/>
    <cellStyle name="Normal 13 5" xfId="2605" xr:uid="{00000000-0005-0000-0000-000098070000}"/>
    <cellStyle name="Normal 13 6" xfId="985" xr:uid="{00000000-0005-0000-0000-000099070000}"/>
    <cellStyle name="Normal 14" xfId="294" xr:uid="{00000000-0005-0000-0000-00009A070000}"/>
    <cellStyle name="Normal 14 2" xfId="486" xr:uid="{00000000-0005-0000-0000-00009B070000}"/>
    <cellStyle name="Normal 14 2 2" xfId="2606" xr:uid="{00000000-0005-0000-0000-00009C070000}"/>
    <cellStyle name="Normal 14 3" xfId="984" xr:uid="{00000000-0005-0000-0000-00009D070000}"/>
    <cellStyle name="Normal 15" xfId="295" xr:uid="{00000000-0005-0000-0000-00009E070000}"/>
    <cellStyle name="Normal 15 2" xfId="487" xr:uid="{00000000-0005-0000-0000-00009F070000}"/>
    <cellStyle name="Normal 15 3" xfId="983" xr:uid="{00000000-0005-0000-0000-0000A0070000}"/>
    <cellStyle name="Normal 16" xfId="296" xr:uid="{00000000-0005-0000-0000-0000A1070000}"/>
    <cellStyle name="Normal 16 2" xfId="2607" xr:uid="{00000000-0005-0000-0000-0000A2070000}"/>
    <cellStyle name="Normal 17" xfId="297" xr:uid="{00000000-0005-0000-0000-0000A3070000}"/>
    <cellStyle name="Normal 17 2" xfId="2608" xr:uid="{00000000-0005-0000-0000-0000A4070000}"/>
    <cellStyle name="Normal 18" xfId="298" xr:uid="{00000000-0005-0000-0000-0000A5070000}"/>
    <cellStyle name="Normal 18 2" xfId="981" xr:uid="{00000000-0005-0000-0000-0000A6070000}"/>
    <cellStyle name="Normal 18 2 2" xfId="980" xr:uid="{00000000-0005-0000-0000-0000A7070000}"/>
    <cellStyle name="Normal 18 3" xfId="979" xr:uid="{00000000-0005-0000-0000-0000A8070000}"/>
    <cellStyle name="Normal 18 3 2" xfId="978" xr:uid="{00000000-0005-0000-0000-0000A9070000}"/>
    <cellStyle name="Normal 18 4" xfId="977" xr:uid="{00000000-0005-0000-0000-0000AA070000}"/>
    <cellStyle name="Normal 18 4 2" xfId="976" xr:uid="{00000000-0005-0000-0000-0000AB070000}"/>
    <cellStyle name="Normal 18 5" xfId="975" xr:uid="{00000000-0005-0000-0000-0000AC070000}"/>
    <cellStyle name="Normal 18 6" xfId="974" xr:uid="{00000000-0005-0000-0000-0000AD070000}"/>
    <cellStyle name="Normal 18 7" xfId="982" xr:uid="{00000000-0005-0000-0000-0000AE070000}"/>
    <cellStyle name="Normal 19" xfId="299" xr:uid="{00000000-0005-0000-0000-0000AF070000}"/>
    <cellStyle name="Normal 19 2" xfId="300" xr:uid="{00000000-0005-0000-0000-0000B0070000}"/>
    <cellStyle name="Normal 19 2 2" xfId="2609" xr:uid="{00000000-0005-0000-0000-0000B1070000}"/>
    <cellStyle name="Normal 19 2 3" xfId="972" xr:uid="{00000000-0005-0000-0000-0000B2070000}"/>
    <cellStyle name="Normal 19 3" xfId="2610" xr:uid="{00000000-0005-0000-0000-0000B3070000}"/>
    <cellStyle name="Normal 19 4" xfId="973" xr:uid="{00000000-0005-0000-0000-0000B4070000}"/>
    <cellStyle name="Normal 2" xfId="22" xr:uid="{00000000-0005-0000-0000-0000B5070000}"/>
    <cellStyle name="Normal 2 11 8" xfId="10294" xr:uid="{00000000-0005-0000-0000-0000B6070000}"/>
    <cellStyle name="Normal 2 2" xfId="301" xr:uid="{00000000-0005-0000-0000-0000B7070000}"/>
    <cellStyle name="Normal 2 2 2" xfId="541" xr:uid="{00000000-0005-0000-0000-0000B8070000}"/>
    <cellStyle name="Normal 2 2 3" xfId="530" xr:uid="{00000000-0005-0000-0000-0000B9070000}"/>
    <cellStyle name="Normal 2 2 3 2" xfId="1233" xr:uid="{00000000-0005-0000-0000-0000BA070000}"/>
    <cellStyle name="Normal 2 2 3 2 2" xfId="1459" xr:uid="{00000000-0005-0000-0000-0000BB070000}"/>
    <cellStyle name="Normal 2 2 3 2 2 2" xfId="10193" xr:uid="{00000000-0005-0000-0000-0000BC070000}"/>
    <cellStyle name="Normal 2 2 3 2 3" xfId="9977" xr:uid="{00000000-0005-0000-0000-0000BD070000}"/>
    <cellStyle name="Normal 2 2 3 3" xfId="1315" xr:uid="{00000000-0005-0000-0000-0000BE070000}"/>
    <cellStyle name="Normal 2 2 3 3 2" xfId="1531" xr:uid="{00000000-0005-0000-0000-0000BF070000}"/>
    <cellStyle name="Normal 2 2 3 3 2 2" xfId="10265" xr:uid="{00000000-0005-0000-0000-0000C0070000}"/>
    <cellStyle name="Normal 2 2 3 3 3" xfId="10049" xr:uid="{00000000-0005-0000-0000-0000C1070000}"/>
    <cellStyle name="Normal 2 2 3 4" xfId="1387" xr:uid="{00000000-0005-0000-0000-0000C2070000}"/>
    <cellStyle name="Normal 2 2 3 4 2" xfId="10121" xr:uid="{00000000-0005-0000-0000-0000C3070000}"/>
    <cellStyle name="Normal 2 2 3 5" xfId="9905" xr:uid="{00000000-0005-0000-0000-0000C4070000}"/>
    <cellStyle name="Normal 2 2 3 6" xfId="1122" xr:uid="{00000000-0005-0000-0000-0000C5070000}"/>
    <cellStyle name="Normal 2 2 4" xfId="1133" xr:uid="{00000000-0005-0000-0000-0000C6070000}"/>
    <cellStyle name="Normal 2 2 4 2" xfId="1239" xr:uid="{00000000-0005-0000-0000-0000C7070000}"/>
    <cellStyle name="Normal 2 2 4 2 2" xfId="1465" xr:uid="{00000000-0005-0000-0000-0000C8070000}"/>
    <cellStyle name="Normal 2 2 4 2 2 2" xfId="10199" xr:uid="{00000000-0005-0000-0000-0000C9070000}"/>
    <cellStyle name="Normal 2 2 4 2 3" xfId="9983" xr:uid="{00000000-0005-0000-0000-0000CA070000}"/>
    <cellStyle name="Normal 2 2 4 3" xfId="1321" xr:uid="{00000000-0005-0000-0000-0000CB070000}"/>
    <cellStyle name="Normal 2 2 4 3 2" xfId="1537" xr:uid="{00000000-0005-0000-0000-0000CC070000}"/>
    <cellStyle name="Normal 2 2 4 3 2 2" xfId="10271" xr:uid="{00000000-0005-0000-0000-0000CD070000}"/>
    <cellStyle name="Normal 2 2 4 3 3" xfId="10055" xr:uid="{00000000-0005-0000-0000-0000CE070000}"/>
    <cellStyle name="Normal 2 2 4 4" xfId="1393" xr:uid="{00000000-0005-0000-0000-0000CF070000}"/>
    <cellStyle name="Normal 2 2 4 4 2" xfId="10127" xr:uid="{00000000-0005-0000-0000-0000D0070000}"/>
    <cellStyle name="Normal 2 2 4 5" xfId="9911" xr:uid="{00000000-0005-0000-0000-0000D1070000}"/>
    <cellStyle name="Normal 2 2 5" xfId="1175" xr:uid="{00000000-0005-0000-0000-0000D2070000}"/>
    <cellStyle name="Normal 2 2 5 2" xfId="1268" xr:uid="{00000000-0005-0000-0000-0000D3070000}"/>
    <cellStyle name="Normal 2 2 5 2 2" xfId="1484" xr:uid="{00000000-0005-0000-0000-0000D4070000}"/>
    <cellStyle name="Normal 2 2 5 2 2 2" xfId="10218" xr:uid="{00000000-0005-0000-0000-0000D5070000}"/>
    <cellStyle name="Normal 2 2 5 2 3" xfId="10002" xr:uid="{00000000-0005-0000-0000-0000D6070000}"/>
    <cellStyle name="Normal 2 2 5 3" xfId="1340" xr:uid="{00000000-0005-0000-0000-0000D7070000}"/>
    <cellStyle name="Normal 2 2 5 3 2" xfId="1556" xr:uid="{00000000-0005-0000-0000-0000D8070000}"/>
    <cellStyle name="Normal 2 2 5 3 2 2" xfId="10290" xr:uid="{00000000-0005-0000-0000-0000D9070000}"/>
    <cellStyle name="Normal 2 2 5 3 3" xfId="10074" xr:uid="{00000000-0005-0000-0000-0000DA070000}"/>
    <cellStyle name="Normal 2 2 5 4" xfId="1412" xr:uid="{00000000-0005-0000-0000-0000DB070000}"/>
    <cellStyle name="Normal 2 2 5 4 2" xfId="10146" xr:uid="{00000000-0005-0000-0000-0000DC070000}"/>
    <cellStyle name="Normal 2 2 5 5" xfId="9930" xr:uid="{00000000-0005-0000-0000-0000DD070000}"/>
    <cellStyle name="Normal 2 2 6" xfId="732" xr:uid="{00000000-0005-0000-0000-0000DE070000}"/>
    <cellStyle name="Normal 2 3" xfId="302" xr:uid="{00000000-0005-0000-0000-0000DF070000}"/>
    <cellStyle name="Normal 2 3 2" xfId="303" xr:uid="{00000000-0005-0000-0000-0000E0070000}"/>
    <cellStyle name="Normal 2 3 3" xfId="304" xr:uid="{00000000-0005-0000-0000-0000E1070000}"/>
    <cellStyle name="Normal 2 3 3 2" xfId="489" xr:uid="{00000000-0005-0000-0000-0000E2070000}"/>
    <cellStyle name="Normal 2 3 4" xfId="488" xr:uid="{00000000-0005-0000-0000-0000E3070000}"/>
    <cellStyle name="Normal 2 3 5" xfId="543" xr:uid="{00000000-0005-0000-0000-0000E4070000}"/>
    <cellStyle name="Normal 2 3 6" xfId="971" xr:uid="{00000000-0005-0000-0000-0000E5070000}"/>
    <cellStyle name="Normal 2 4" xfId="305" xr:uid="{00000000-0005-0000-0000-0000E6070000}"/>
    <cellStyle name="Normal 2 4 2" xfId="306" xr:uid="{00000000-0005-0000-0000-0000E7070000}"/>
    <cellStyle name="Normal 2 4 3" xfId="556" xr:uid="{00000000-0005-0000-0000-0000E8070000}"/>
    <cellStyle name="Normal 2 4 4" xfId="1121" xr:uid="{00000000-0005-0000-0000-0000E9070000}"/>
    <cellStyle name="Normal 2 5" xfId="307" xr:uid="{00000000-0005-0000-0000-0000EA070000}"/>
    <cellStyle name="Normal 2 6" xfId="409" xr:uid="{00000000-0005-0000-0000-0000EB070000}"/>
    <cellStyle name="Normal 2 6 2" xfId="499" xr:uid="{00000000-0005-0000-0000-0000EC070000}"/>
    <cellStyle name="Normal 2 7" xfId="425" xr:uid="{00000000-0005-0000-0000-0000ED070000}"/>
    <cellStyle name="Normal 2 7 2" xfId="511" xr:uid="{00000000-0005-0000-0000-0000EE070000}"/>
    <cellStyle name="Normal 2 8" xfId="431" xr:uid="{00000000-0005-0000-0000-0000EF070000}"/>
    <cellStyle name="Normal 2 8 2" xfId="516" xr:uid="{00000000-0005-0000-0000-0000F0070000}"/>
    <cellStyle name="Normal 2 9" xfId="438" xr:uid="{00000000-0005-0000-0000-0000F1070000}"/>
    <cellStyle name="Normal 20" xfId="308" xr:uid="{00000000-0005-0000-0000-0000F2070000}"/>
    <cellStyle name="Normal 20 2" xfId="309" xr:uid="{00000000-0005-0000-0000-0000F3070000}"/>
    <cellStyle name="Normal 20 2 2" xfId="969" xr:uid="{00000000-0005-0000-0000-0000F4070000}"/>
    <cellStyle name="Normal 20 3" xfId="970" xr:uid="{00000000-0005-0000-0000-0000F5070000}"/>
    <cellStyle name="Normal 21" xfId="310" xr:uid="{00000000-0005-0000-0000-0000F6070000}"/>
    <cellStyle name="Normal 21 2" xfId="311" xr:uid="{00000000-0005-0000-0000-0000F7070000}"/>
    <cellStyle name="Normal 21 2 2" xfId="967" xr:uid="{00000000-0005-0000-0000-0000F8070000}"/>
    <cellStyle name="Normal 21 3" xfId="968" xr:uid="{00000000-0005-0000-0000-0000F9070000}"/>
    <cellStyle name="Normal 22" xfId="312" xr:uid="{00000000-0005-0000-0000-0000FA070000}"/>
    <cellStyle name="Normal 22 2" xfId="313" xr:uid="{00000000-0005-0000-0000-0000FB070000}"/>
    <cellStyle name="Normal 23" xfId="314" xr:uid="{00000000-0005-0000-0000-0000FC070000}"/>
    <cellStyle name="Normal 23 2" xfId="315" xr:uid="{00000000-0005-0000-0000-0000FD070000}"/>
    <cellStyle name="Normal 24" xfId="316" xr:uid="{00000000-0005-0000-0000-0000FE070000}"/>
    <cellStyle name="Normal 24 2" xfId="317" xr:uid="{00000000-0005-0000-0000-0000FF070000}"/>
    <cellStyle name="Normal 25" xfId="318" xr:uid="{00000000-0005-0000-0000-000000080000}"/>
    <cellStyle name="Normal 25 2" xfId="319" xr:uid="{00000000-0005-0000-0000-000001080000}"/>
    <cellStyle name="Normal 25 3" xfId="2611" xr:uid="{00000000-0005-0000-0000-000002080000}"/>
    <cellStyle name="Normal 26" xfId="320" xr:uid="{00000000-0005-0000-0000-000003080000}"/>
    <cellStyle name="Normal 26 2" xfId="321" xr:uid="{00000000-0005-0000-0000-000004080000}"/>
    <cellStyle name="Normal 26 2 2" xfId="2613" xr:uid="{00000000-0005-0000-0000-000005080000}"/>
    <cellStyle name="Normal 26 3" xfId="2612" xr:uid="{00000000-0005-0000-0000-000006080000}"/>
    <cellStyle name="Normal 27" xfId="322" xr:uid="{00000000-0005-0000-0000-000007080000}"/>
    <cellStyle name="Normal 27 2" xfId="323" xr:uid="{00000000-0005-0000-0000-000008080000}"/>
    <cellStyle name="Normal 27 3" xfId="2614" xr:uid="{00000000-0005-0000-0000-000009080000}"/>
    <cellStyle name="Normal 28" xfId="324" xr:uid="{00000000-0005-0000-0000-00000A080000}"/>
    <cellStyle name="Normal 28 2" xfId="325" xr:uid="{00000000-0005-0000-0000-00000B080000}"/>
    <cellStyle name="Normal 28 3" xfId="2615" xr:uid="{00000000-0005-0000-0000-00000C080000}"/>
    <cellStyle name="Normal 29" xfId="326" xr:uid="{00000000-0005-0000-0000-00000D080000}"/>
    <cellStyle name="Normal 29 2" xfId="327" xr:uid="{00000000-0005-0000-0000-00000E080000}"/>
    <cellStyle name="Normal 29 2 2" xfId="539" xr:uid="{00000000-0005-0000-0000-00000F080000}"/>
    <cellStyle name="Normal 29 2 3" xfId="2617" xr:uid="{00000000-0005-0000-0000-000010080000}"/>
    <cellStyle name="Normal 29 3" xfId="2618" xr:uid="{00000000-0005-0000-0000-000011080000}"/>
    <cellStyle name="Normal 29 4" xfId="2616" xr:uid="{00000000-0005-0000-0000-000012080000}"/>
    <cellStyle name="Normal 3" xfId="33" xr:uid="{00000000-0005-0000-0000-000013080000}"/>
    <cellStyle name="Normal 3 10" xfId="441" xr:uid="{00000000-0005-0000-0000-000014080000}"/>
    <cellStyle name="Normal 3 11" xfId="547" xr:uid="{00000000-0005-0000-0000-000015080000}"/>
    <cellStyle name="Normal 3 2" xfId="328" xr:uid="{00000000-0005-0000-0000-000016080000}"/>
    <cellStyle name="Normal 3 2 2" xfId="329" xr:uid="{00000000-0005-0000-0000-000017080000}"/>
    <cellStyle name="Normal 3 2 2 2" xfId="330" xr:uid="{00000000-0005-0000-0000-000018080000}"/>
    <cellStyle name="Normal 3 2 3" xfId="331" xr:uid="{00000000-0005-0000-0000-000019080000}"/>
    <cellStyle name="Normal 3 2 3 2" xfId="490" xr:uid="{00000000-0005-0000-0000-00001A080000}"/>
    <cellStyle name="Normal 3 3" xfId="332" xr:uid="{00000000-0005-0000-0000-00001B080000}"/>
    <cellStyle name="Normal 3 3 2" xfId="333" xr:uid="{00000000-0005-0000-0000-00001C080000}"/>
    <cellStyle name="Normal 3 3 2 2" xfId="492" xr:uid="{00000000-0005-0000-0000-00001D080000}"/>
    <cellStyle name="Normal 3 3 3" xfId="491" xr:uid="{00000000-0005-0000-0000-00001E080000}"/>
    <cellStyle name="Normal 3 3 4" xfId="1123" xr:uid="{00000000-0005-0000-0000-00001F080000}"/>
    <cellStyle name="Normal 3 4" xfId="334" xr:uid="{00000000-0005-0000-0000-000020080000}"/>
    <cellStyle name="Normal 3 5" xfId="335" xr:uid="{00000000-0005-0000-0000-000021080000}"/>
    <cellStyle name="Normal 3 5 2" xfId="493" xr:uid="{00000000-0005-0000-0000-000022080000}"/>
    <cellStyle name="Normal 3 6" xfId="336" xr:uid="{00000000-0005-0000-0000-000023080000}"/>
    <cellStyle name="Normal 3 7" xfId="412" xr:uid="{00000000-0005-0000-0000-000024080000}"/>
    <cellStyle name="Normal 3 7 2" xfId="502" xr:uid="{00000000-0005-0000-0000-000025080000}"/>
    <cellStyle name="Normal 3 8" xfId="428" xr:uid="{00000000-0005-0000-0000-000026080000}"/>
    <cellStyle name="Normal 3 8 2" xfId="514" xr:uid="{00000000-0005-0000-0000-000027080000}"/>
    <cellStyle name="Normal 3 9" xfId="434" xr:uid="{00000000-0005-0000-0000-000028080000}"/>
    <cellStyle name="Normal 3 9 2" xfId="519" xr:uid="{00000000-0005-0000-0000-000029080000}"/>
    <cellStyle name="Normal 3_Attach O, GG, Support -New Method 2-14-11" xfId="733" xr:uid="{00000000-0005-0000-0000-00002A080000}"/>
    <cellStyle name="Normal 30" xfId="337" xr:uid="{00000000-0005-0000-0000-00002B080000}"/>
    <cellStyle name="Normal 30 2" xfId="2619" xr:uid="{00000000-0005-0000-0000-00002C080000}"/>
    <cellStyle name="Normal 304 3" xfId="546" xr:uid="{00000000-0005-0000-0000-00002D080000}"/>
    <cellStyle name="Normal 31" xfId="338" xr:uid="{00000000-0005-0000-0000-00002E080000}"/>
    <cellStyle name="Normal 31 2" xfId="2620" xr:uid="{00000000-0005-0000-0000-00002F080000}"/>
    <cellStyle name="Normal 32" xfId="339" xr:uid="{00000000-0005-0000-0000-000030080000}"/>
    <cellStyle name="Normal 32 2" xfId="2622" xr:uid="{00000000-0005-0000-0000-000031080000}"/>
    <cellStyle name="Normal 32 3" xfId="2621" xr:uid="{00000000-0005-0000-0000-000032080000}"/>
    <cellStyle name="Normal 33" xfId="340" xr:uid="{00000000-0005-0000-0000-000033080000}"/>
    <cellStyle name="Normal 33 2" xfId="2624" xr:uid="{00000000-0005-0000-0000-000034080000}"/>
    <cellStyle name="Normal 33 3" xfId="2623" xr:uid="{00000000-0005-0000-0000-000035080000}"/>
    <cellStyle name="Normal 34" xfId="407" xr:uid="{00000000-0005-0000-0000-000036080000}"/>
    <cellStyle name="Normal 34 2" xfId="2625" xr:uid="{00000000-0005-0000-0000-000037080000}"/>
    <cellStyle name="Normal 35" xfId="408" xr:uid="{00000000-0005-0000-0000-000038080000}"/>
    <cellStyle name="Normal 35 2" xfId="9855" xr:uid="{00000000-0005-0000-0000-000039080000}"/>
    <cellStyle name="Normal 36" xfId="414" xr:uid="{00000000-0005-0000-0000-00003A080000}"/>
    <cellStyle name="Normal 36 2" xfId="504" xr:uid="{00000000-0005-0000-0000-00003B080000}"/>
    <cellStyle name="Normal 37" xfId="416" xr:uid="{00000000-0005-0000-0000-00003C080000}"/>
    <cellStyle name="Normal 37 2" xfId="506" xr:uid="{00000000-0005-0000-0000-00003D080000}"/>
    <cellStyle name="Normal 38" xfId="418" xr:uid="{00000000-0005-0000-0000-00003E080000}"/>
    <cellStyle name="Normal 38 2" xfId="508" xr:uid="{00000000-0005-0000-0000-00003F080000}"/>
    <cellStyle name="Normal 39" xfId="421" xr:uid="{00000000-0005-0000-0000-000040080000}"/>
    <cellStyle name="Normal 4" xfId="38" xr:uid="{00000000-0005-0000-0000-000041080000}"/>
    <cellStyle name="Normal 4 10" xfId="2626" xr:uid="{00000000-0005-0000-0000-000042080000}"/>
    <cellStyle name="Normal 4 10 2" xfId="2627" xr:uid="{00000000-0005-0000-0000-000043080000}"/>
    <cellStyle name="Normal 4 10 2 2" xfId="2628" xr:uid="{00000000-0005-0000-0000-000044080000}"/>
    <cellStyle name="Normal 4 10 2 2 2" xfId="2629" xr:uid="{00000000-0005-0000-0000-000045080000}"/>
    <cellStyle name="Normal 4 10 2 2 2 2" xfId="2630" xr:uid="{00000000-0005-0000-0000-000046080000}"/>
    <cellStyle name="Normal 4 10 2 2 2 3" xfId="2631" xr:uid="{00000000-0005-0000-0000-000047080000}"/>
    <cellStyle name="Normal 4 10 2 2 3" xfId="2632" xr:uid="{00000000-0005-0000-0000-000048080000}"/>
    <cellStyle name="Normal 4 10 2 2 4" xfId="2633" xr:uid="{00000000-0005-0000-0000-000049080000}"/>
    <cellStyle name="Normal 4 10 2 2 5" xfId="2634" xr:uid="{00000000-0005-0000-0000-00004A080000}"/>
    <cellStyle name="Normal 4 10 2 3" xfId="2635" xr:uid="{00000000-0005-0000-0000-00004B080000}"/>
    <cellStyle name="Normal 4 10 2 3 2" xfId="2636" xr:uid="{00000000-0005-0000-0000-00004C080000}"/>
    <cellStyle name="Normal 4 10 2 3 2 2" xfId="2637" xr:uid="{00000000-0005-0000-0000-00004D080000}"/>
    <cellStyle name="Normal 4 10 2 3 2 3" xfId="2638" xr:uid="{00000000-0005-0000-0000-00004E080000}"/>
    <cellStyle name="Normal 4 10 2 3 3" xfId="2639" xr:uid="{00000000-0005-0000-0000-00004F080000}"/>
    <cellStyle name="Normal 4 10 2 3 4" xfId="2640" xr:uid="{00000000-0005-0000-0000-000050080000}"/>
    <cellStyle name="Normal 4 10 2 3 5" xfId="2641" xr:uid="{00000000-0005-0000-0000-000051080000}"/>
    <cellStyle name="Normal 4 10 2 4" xfId="2642" xr:uid="{00000000-0005-0000-0000-000052080000}"/>
    <cellStyle name="Normal 4 10 2 4 2" xfId="2643" xr:uid="{00000000-0005-0000-0000-000053080000}"/>
    <cellStyle name="Normal 4 10 2 4 3" xfId="2644" xr:uid="{00000000-0005-0000-0000-000054080000}"/>
    <cellStyle name="Normal 4 10 2 5" xfId="2645" xr:uid="{00000000-0005-0000-0000-000055080000}"/>
    <cellStyle name="Normal 4 10 2 6" xfId="2646" xr:uid="{00000000-0005-0000-0000-000056080000}"/>
    <cellStyle name="Normal 4 10 2 7" xfId="2647" xr:uid="{00000000-0005-0000-0000-000057080000}"/>
    <cellStyle name="Normal 4 10 3" xfId="2648" xr:uid="{00000000-0005-0000-0000-000058080000}"/>
    <cellStyle name="Normal 4 10 3 2" xfId="2649" xr:uid="{00000000-0005-0000-0000-000059080000}"/>
    <cellStyle name="Normal 4 10 3 2 2" xfId="2650" xr:uid="{00000000-0005-0000-0000-00005A080000}"/>
    <cellStyle name="Normal 4 10 3 2 3" xfId="2651" xr:uid="{00000000-0005-0000-0000-00005B080000}"/>
    <cellStyle name="Normal 4 10 3 3" xfId="2652" xr:uid="{00000000-0005-0000-0000-00005C080000}"/>
    <cellStyle name="Normal 4 10 3 4" xfId="2653" xr:uid="{00000000-0005-0000-0000-00005D080000}"/>
    <cellStyle name="Normal 4 10 3 5" xfId="2654" xr:uid="{00000000-0005-0000-0000-00005E080000}"/>
    <cellStyle name="Normal 4 10 4" xfId="2655" xr:uid="{00000000-0005-0000-0000-00005F080000}"/>
    <cellStyle name="Normal 4 10 4 2" xfId="2656" xr:uid="{00000000-0005-0000-0000-000060080000}"/>
    <cellStyle name="Normal 4 10 4 2 2" xfId="2657" xr:uid="{00000000-0005-0000-0000-000061080000}"/>
    <cellStyle name="Normal 4 10 4 2 3" xfId="2658" xr:uid="{00000000-0005-0000-0000-000062080000}"/>
    <cellStyle name="Normal 4 10 4 3" xfId="2659" xr:uid="{00000000-0005-0000-0000-000063080000}"/>
    <cellStyle name="Normal 4 10 4 4" xfId="2660" xr:uid="{00000000-0005-0000-0000-000064080000}"/>
    <cellStyle name="Normal 4 10 4 5" xfId="2661" xr:uid="{00000000-0005-0000-0000-000065080000}"/>
    <cellStyle name="Normal 4 10 5" xfId="2662" xr:uid="{00000000-0005-0000-0000-000066080000}"/>
    <cellStyle name="Normal 4 10 5 2" xfId="2663" xr:uid="{00000000-0005-0000-0000-000067080000}"/>
    <cellStyle name="Normal 4 10 5 3" xfId="2664" xr:uid="{00000000-0005-0000-0000-000068080000}"/>
    <cellStyle name="Normal 4 10 6" xfId="2665" xr:uid="{00000000-0005-0000-0000-000069080000}"/>
    <cellStyle name="Normal 4 10 7" xfId="2666" xr:uid="{00000000-0005-0000-0000-00006A080000}"/>
    <cellStyle name="Normal 4 10 8" xfId="2667" xr:uid="{00000000-0005-0000-0000-00006B080000}"/>
    <cellStyle name="Normal 4 11" xfId="2668" xr:uid="{00000000-0005-0000-0000-00006C080000}"/>
    <cellStyle name="Normal 4 11 2" xfId="2669" xr:uid="{00000000-0005-0000-0000-00006D080000}"/>
    <cellStyle name="Normal 4 11 2 2" xfId="2670" xr:uid="{00000000-0005-0000-0000-00006E080000}"/>
    <cellStyle name="Normal 4 11 2 2 2" xfId="2671" xr:uid="{00000000-0005-0000-0000-00006F080000}"/>
    <cellStyle name="Normal 4 11 2 2 3" xfId="2672" xr:uid="{00000000-0005-0000-0000-000070080000}"/>
    <cellStyle name="Normal 4 11 2 3" xfId="2673" xr:uid="{00000000-0005-0000-0000-000071080000}"/>
    <cellStyle name="Normal 4 11 2 4" xfId="2674" xr:uid="{00000000-0005-0000-0000-000072080000}"/>
    <cellStyle name="Normal 4 11 2 5" xfId="2675" xr:uid="{00000000-0005-0000-0000-000073080000}"/>
    <cellStyle name="Normal 4 11 3" xfId="2676" xr:uid="{00000000-0005-0000-0000-000074080000}"/>
    <cellStyle name="Normal 4 11 3 2" xfId="2677" xr:uid="{00000000-0005-0000-0000-000075080000}"/>
    <cellStyle name="Normal 4 11 3 2 2" xfId="2678" xr:uid="{00000000-0005-0000-0000-000076080000}"/>
    <cellStyle name="Normal 4 11 3 2 3" xfId="2679" xr:uid="{00000000-0005-0000-0000-000077080000}"/>
    <cellStyle name="Normal 4 11 3 3" xfId="2680" xr:uid="{00000000-0005-0000-0000-000078080000}"/>
    <cellStyle name="Normal 4 11 3 4" xfId="2681" xr:uid="{00000000-0005-0000-0000-000079080000}"/>
    <cellStyle name="Normal 4 11 3 5" xfId="2682" xr:uid="{00000000-0005-0000-0000-00007A080000}"/>
    <cellStyle name="Normal 4 11 4" xfId="2683" xr:uid="{00000000-0005-0000-0000-00007B080000}"/>
    <cellStyle name="Normal 4 11 4 2" xfId="2684" xr:uid="{00000000-0005-0000-0000-00007C080000}"/>
    <cellStyle name="Normal 4 11 4 3" xfId="2685" xr:uid="{00000000-0005-0000-0000-00007D080000}"/>
    <cellStyle name="Normal 4 11 5" xfId="2686" xr:uid="{00000000-0005-0000-0000-00007E080000}"/>
    <cellStyle name="Normal 4 11 6" xfId="2687" xr:uid="{00000000-0005-0000-0000-00007F080000}"/>
    <cellStyle name="Normal 4 11 7" xfId="2688" xr:uid="{00000000-0005-0000-0000-000080080000}"/>
    <cellStyle name="Normal 4 12" xfId="2689" xr:uid="{00000000-0005-0000-0000-000081080000}"/>
    <cellStyle name="Normal 4 12 2" xfId="2690" xr:uid="{00000000-0005-0000-0000-000082080000}"/>
    <cellStyle name="Normal 4 12 2 2" xfId="2691" xr:uid="{00000000-0005-0000-0000-000083080000}"/>
    <cellStyle name="Normal 4 12 2 2 2" xfId="2692" xr:uid="{00000000-0005-0000-0000-000084080000}"/>
    <cellStyle name="Normal 4 12 2 2 3" xfId="2693" xr:uid="{00000000-0005-0000-0000-000085080000}"/>
    <cellStyle name="Normal 4 12 2 3" xfId="2694" xr:uid="{00000000-0005-0000-0000-000086080000}"/>
    <cellStyle name="Normal 4 12 2 4" xfId="2695" xr:uid="{00000000-0005-0000-0000-000087080000}"/>
    <cellStyle name="Normal 4 12 2 5" xfId="2696" xr:uid="{00000000-0005-0000-0000-000088080000}"/>
    <cellStyle name="Normal 4 12 3" xfId="2697" xr:uid="{00000000-0005-0000-0000-000089080000}"/>
    <cellStyle name="Normal 4 12 3 2" xfId="2698" xr:uid="{00000000-0005-0000-0000-00008A080000}"/>
    <cellStyle name="Normal 4 12 3 2 2" xfId="2699" xr:uid="{00000000-0005-0000-0000-00008B080000}"/>
    <cellStyle name="Normal 4 12 3 2 3" xfId="2700" xr:uid="{00000000-0005-0000-0000-00008C080000}"/>
    <cellStyle name="Normal 4 12 3 3" xfId="2701" xr:uid="{00000000-0005-0000-0000-00008D080000}"/>
    <cellStyle name="Normal 4 12 3 4" xfId="2702" xr:uid="{00000000-0005-0000-0000-00008E080000}"/>
    <cellStyle name="Normal 4 12 3 5" xfId="2703" xr:uid="{00000000-0005-0000-0000-00008F080000}"/>
    <cellStyle name="Normal 4 12 4" xfId="2704" xr:uid="{00000000-0005-0000-0000-000090080000}"/>
    <cellStyle name="Normal 4 12 4 2" xfId="2705" xr:uid="{00000000-0005-0000-0000-000091080000}"/>
    <cellStyle name="Normal 4 12 4 3" xfId="2706" xr:uid="{00000000-0005-0000-0000-000092080000}"/>
    <cellStyle name="Normal 4 12 5" xfId="2707" xr:uid="{00000000-0005-0000-0000-000093080000}"/>
    <cellStyle name="Normal 4 12 6" xfId="2708" xr:uid="{00000000-0005-0000-0000-000094080000}"/>
    <cellStyle name="Normal 4 12 7" xfId="2709" xr:uid="{00000000-0005-0000-0000-000095080000}"/>
    <cellStyle name="Normal 4 13" xfId="2710" xr:uid="{00000000-0005-0000-0000-000096080000}"/>
    <cellStyle name="Normal 4 13 2" xfId="2711" xr:uid="{00000000-0005-0000-0000-000097080000}"/>
    <cellStyle name="Normal 4 13 2 2" xfId="2712" xr:uid="{00000000-0005-0000-0000-000098080000}"/>
    <cellStyle name="Normal 4 13 2 3" xfId="2713" xr:uid="{00000000-0005-0000-0000-000099080000}"/>
    <cellStyle name="Normal 4 13 3" xfId="2714" xr:uid="{00000000-0005-0000-0000-00009A080000}"/>
    <cellStyle name="Normal 4 13 4" xfId="2715" xr:uid="{00000000-0005-0000-0000-00009B080000}"/>
    <cellStyle name="Normal 4 13 5" xfId="2716" xr:uid="{00000000-0005-0000-0000-00009C080000}"/>
    <cellStyle name="Normal 4 14" xfId="2717" xr:uid="{00000000-0005-0000-0000-00009D080000}"/>
    <cellStyle name="Normal 4 14 2" xfId="2718" xr:uid="{00000000-0005-0000-0000-00009E080000}"/>
    <cellStyle name="Normal 4 14 2 2" xfId="2719" xr:uid="{00000000-0005-0000-0000-00009F080000}"/>
    <cellStyle name="Normal 4 14 2 3" xfId="2720" xr:uid="{00000000-0005-0000-0000-0000A0080000}"/>
    <cellStyle name="Normal 4 14 3" xfId="2721" xr:uid="{00000000-0005-0000-0000-0000A1080000}"/>
    <cellStyle name="Normal 4 14 4" xfId="2722" xr:uid="{00000000-0005-0000-0000-0000A2080000}"/>
    <cellStyle name="Normal 4 14 5" xfId="2723" xr:uid="{00000000-0005-0000-0000-0000A3080000}"/>
    <cellStyle name="Normal 4 15 2 3" xfId="537" xr:uid="{00000000-0005-0000-0000-0000A4080000}"/>
    <cellStyle name="Normal 4 2" xfId="341" xr:uid="{00000000-0005-0000-0000-0000A5080000}"/>
    <cellStyle name="Normal 4 2 10" xfId="2724" xr:uid="{00000000-0005-0000-0000-0000A6080000}"/>
    <cellStyle name="Normal 4 2 10 2" xfId="2725" xr:uid="{00000000-0005-0000-0000-0000A7080000}"/>
    <cellStyle name="Normal 4 2 10 2 2" xfId="2726" xr:uid="{00000000-0005-0000-0000-0000A8080000}"/>
    <cellStyle name="Normal 4 2 10 2 2 2" xfId="2727" xr:uid="{00000000-0005-0000-0000-0000A9080000}"/>
    <cellStyle name="Normal 4 2 10 2 2 3" xfId="2728" xr:uid="{00000000-0005-0000-0000-0000AA080000}"/>
    <cellStyle name="Normal 4 2 10 2 3" xfId="2729" xr:uid="{00000000-0005-0000-0000-0000AB080000}"/>
    <cellStyle name="Normal 4 2 10 2 4" xfId="2730" xr:uid="{00000000-0005-0000-0000-0000AC080000}"/>
    <cellStyle name="Normal 4 2 10 2 5" xfId="2731" xr:uid="{00000000-0005-0000-0000-0000AD080000}"/>
    <cellStyle name="Normal 4 2 10 3" xfId="2732" xr:uid="{00000000-0005-0000-0000-0000AE080000}"/>
    <cellStyle name="Normal 4 2 10 3 2" xfId="2733" xr:uid="{00000000-0005-0000-0000-0000AF080000}"/>
    <cellStyle name="Normal 4 2 10 3 2 2" xfId="2734" xr:uid="{00000000-0005-0000-0000-0000B0080000}"/>
    <cellStyle name="Normal 4 2 10 3 2 3" xfId="2735" xr:uid="{00000000-0005-0000-0000-0000B1080000}"/>
    <cellStyle name="Normal 4 2 10 3 3" xfId="2736" xr:uid="{00000000-0005-0000-0000-0000B2080000}"/>
    <cellStyle name="Normal 4 2 10 3 4" xfId="2737" xr:uid="{00000000-0005-0000-0000-0000B3080000}"/>
    <cellStyle name="Normal 4 2 10 3 5" xfId="2738" xr:uid="{00000000-0005-0000-0000-0000B4080000}"/>
    <cellStyle name="Normal 4 2 10 4" xfId="2739" xr:uid="{00000000-0005-0000-0000-0000B5080000}"/>
    <cellStyle name="Normal 4 2 10 4 2" xfId="2740" xr:uid="{00000000-0005-0000-0000-0000B6080000}"/>
    <cellStyle name="Normal 4 2 10 4 3" xfId="2741" xr:uid="{00000000-0005-0000-0000-0000B7080000}"/>
    <cellStyle name="Normal 4 2 10 5" xfId="2742" xr:uid="{00000000-0005-0000-0000-0000B8080000}"/>
    <cellStyle name="Normal 4 2 10 6" xfId="2743" xr:uid="{00000000-0005-0000-0000-0000B9080000}"/>
    <cellStyle name="Normal 4 2 10 7" xfId="2744" xr:uid="{00000000-0005-0000-0000-0000BA080000}"/>
    <cellStyle name="Normal 4 2 11" xfId="2745" xr:uid="{00000000-0005-0000-0000-0000BB080000}"/>
    <cellStyle name="Normal 4 2 11 2" xfId="2746" xr:uid="{00000000-0005-0000-0000-0000BC080000}"/>
    <cellStyle name="Normal 4 2 11 2 2" xfId="2747" xr:uid="{00000000-0005-0000-0000-0000BD080000}"/>
    <cellStyle name="Normal 4 2 11 2 3" xfId="2748" xr:uid="{00000000-0005-0000-0000-0000BE080000}"/>
    <cellStyle name="Normal 4 2 11 3" xfId="2749" xr:uid="{00000000-0005-0000-0000-0000BF080000}"/>
    <cellStyle name="Normal 4 2 11 4" xfId="2750" xr:uid="{00000000-0005-0000-0000-0000C0080000}"/>
    <cellStyle name="Normal 4 2 11 5" xfId="2751" xr:uid="{00000000-0005-0000-0000-0000C1080000}"/>
    <cellStyle name="Normal 4 2 12" xfId="2752" xr:uid="{00000000-0005-0000-0000-0000C2080000}"/>
    <cellStyle name="Normal 4 2 12 2" xfId="2753" xr:uid="{00000000-0005-0000-0000-0000C3080000}"/>
    <cellStyle name="Normal 4 2 12 2 2" xfId="2754" xr:uid="{00000000-0005-0000-0000-0000C4080000}"/>
    <cellStyle name="Normal 4 2 12 2 3" xfId="2755" xr:uid="{00000000-0005-0000-0000-0000C5080000}"/>
    <cellStyle name="Normal 4 2 12 3" xfId="2756" xr:uid="{00000000-0005-0000-0000-0000C6080000}"/>
    <cellStyle name="Normal 4 2 12 4" xfId="2757" xr:uid="{00000000-0005-0000-0000-0000C7080000}"/>
    <cellStyle name="Normal 4 2 12 5" xfId="2758" xr:uid="{00000000-0005-0000-0000-0000C8080000}"/>
    <cellStyle name="Normal 4 2 2" xfId="966" xr:uid="{00000000-0005-0000-0000-0000C9080000}"/>
    <cellStyle name="Normal 4 2 2 10" xfId="2759" xr:uid="{00000000-0005-0000-0000-0000CA080000}"/>
    <cellStyle name="Normal 4 2 2 10 2" xfId="2760" xr:uid="{00000000-0005-0000-0000-0000CB080000}"/>
    <cellStyle name="Normal 4 2 2 10 2 2" xfId="2761" xr:uid="{00000000-0005-0000-0000-0000CC080000}"/>
    <cellStyle name="Normal 4 2 2 10 2 3" xfId="2762" xr:uid="{00000000-0005-0000-0000-0000CD080000}"/>
    <cellStyle name="Normal 4 2 2 10 3" xfId="2763" xr:uid="{00000000-0005-0000-0000-0000CE080000}"/>
    <cellStyle name="Normal 4 2 2 10 4" xfId="2764" xr:uid="{00000000-0005-0000-0000-0000CF080000}"/>
    <cellStyle name="Normal 4 2 2 10 5" xfId="2765" xr:uid="{00000000-0005-0000-0000-0000D0080000}"/>
    <cellStyle name="Normal 4 2 2 11" xfId="2766" xr:uid="{00000000-0005-0000-0000-0000D1080000}"/>
    <cellStyle name="Normal 4 2 2 11 2" xfId="2767" xr:uid="{00000000-0005-0000-0000-0000D2080000}"/>
    <cellStyle name="Normal 4 2 2 11 3" xfId="2768" xr:uid="{00000000-0005-0000-0000-0000D3080000}"/>
    <cellStyle name="Normal 4 2 2 12" xfId="2769" xr:uid="{00000000-0005-0000-0000-0000D4080000}"/>
    <cellStyle name="Normal 4 2 2 13" xfId="2770" xr:uid="{00000000-0005-0000-0000-0000D5080000}"/>
    <cellStyle name="Normal 4 2 2 14" xfId="2771" xr:uid="{00000000-0005-0000-0000-0000D6080000}"/>
    <cellStyle name="Normal 4 2 2 2" xfId="2772" xr:uid="{00000000-0005-0000-0000-0000D7080000}"/>
    <cellStyle name="Normal 4 2 2 2 10" xfId="2773" xr:uid="{00000000-0005-0000-0000-0000D8080000}"/>
    <cellStyle name="Normal 4 2 2 2 10 2" xfId="2774" xr:uid="{00000000-0005-0000-0000-0000D9080000}"/>
    <cellStyle name="Normal 4 2 2 2 10 3" xfId="2775" xr:uid="{00000000-0005-0000-0000-0000DA080000}"/>
    <cellStyle name="Normal 4 2 2 2 11" xfId="2776" xr:uid="{00000000-0005-0000-0000-0000DB080000}"/>
    <cellStyle name="Normal 4 2 2 2 12" xfId="2777" xr:uid="{00000000-0005-0000-0000-0000DC080000}"/>
    <cellStyle name="Normal 4 2 2 2 13" xfId="2778" xr:uid="{00000000-0005-0000-0000-0000DD080000}"/>
    <cellStyle name="Normal 4 2 2 2 2" xfId="2779" xr:uid="{00000000-0005-0000-0000-0000DE080000}"/>
    <cellStyle name="Normal 4 2 2 2 2 2" xfId="2780" xr:uid="{00000000-0005-0000-0000-0000DF080000}"/>
    <cellStyle name="Normal 4 2 2 2 2 2 2" xfId="2781" xr:uid="{00000000-0005-0000-0000-0000E0080000}"/>
    <cellStyle name="Normal 4 2 2 2 2 2 2 2" xfId="2782" xr:uid="{00000000-0005-0000-0000-0000E1080000}"/>
    <cellStyle name="Normal 4 2 2 2 2 2 2 2 2" xfId="2783" xr:uid="{00000000-0005-0000-0000-0000E2080000}"/>
    <cellStyle name="Normal 4 2 2 2 2 2 2 2 2 2" xfId="2784" xr:uid="{00000000-0005-0000-0000-0000E3080000}"/>
    <cellStyle name="Normal 4 2 2 2 2 2 2 2 2 3" xfId="2785" xr:uid="{00000000-0005-0000-0000-0000E4080000}"/>
    <cellStyle name="Normal 4 2 2 2 2 2 2 2 3" xfId="2786" xr:uid="{00000000-0005-0000-0000-0000E5080000}"/>
    <cellStyle name="Normal 4 2 2 2 2 2 2 2 4" xfId="2787" xr:uid="{00000000-0005-0000-0000-0000E6080000}"/>
    <cellStyle name="Normal 4 2 2 2 2 2 2 2 5" xfId="2788" xr:uid="{00000000-0005-0000-0000-0000E7080000}"/>
    <cellStyle name="Normal 4 2 2 2 2 2 2 3" xfId="2789" xr:uid="{00000000-0005-0000-0000-0000E8080000}"/>
    <cellStyle name="Normal 4 2 2 2 2 2 2 3 2" xfId="2790" xr:uid="{00000000-0005-0000-0000-0000E9080000}"/>
    <cellStyle name="Normal 4 2 2 2 2 2 2 3 2 2" xfId="2791" xr:uid="{00000000-0005-0000-0000-0000EA080000}"/>
    <cellStyle name="Normal 4 2 2 2 2 2 2 3 2 3" xfId="2792" xr:uid="{00000000-0005-0000-0000-0000EB080000}"/>
    <cellStyle name="Normal 4 2 2 2 2 2 2 3 3" xfId="2793" xr:uid="{00000000-0005-0000-0000-0000EC080000}"/>
    <cellStyle name="Normal 4 2 2 2 2 2 2 3 4" xfId="2794" xr:uid="{00000000-0005-0000-0000-0000ED080000}"/>
    <cellStyle name="Normal 4 2 2 2 2 2 2 3 5" xfId="2795" xr:uid="{00000000-0005-0000-0000-0000EE080000}"/>
    <cellStyle name="Normal 4 2 2 2 2 2 2 4" xfId="2796" xr:uid="{00000000-0005-0000-0000-0000EF080000}"/>
    <cellStyle name="Normal 4 2 2 2 2 2 2 4 2" xfId="2797" xr:uid="{00000000-0005-0000-0000-0000F0080000}"/>
    <cellStyle name="Normal 4 2 2 2 2 2 2 4 3" xfId="2798" xr:uid="{00000000-0005-0000-0000-0000F1080000}"/>
    <cellStyle name="Normal 4 2 2 2 2 2 2 5" xfId="2799" xr:uid="{00000000-0005-0000-0000-0000F2080000}"/>
    <cellStyle name="Normal 4 2 2 2 2 2 2 6" xfId="2800" xr:uid="{00000000-0005-0000-0000-0000F3080000}"/>
    <cellStyle name="Normal 4 2 2 2 2 2 2 7" xfId="2801" xr:uid="{00000000-0005-0000-0000-0000F4080000}"/>
    <cellStyle name="Normal 4 2 2 2 2 2 3" xfId="2802" xr:uid="{00000000-0005-0000-0000-0000F5080000}"/>
    <cellStyle name="Normal 4 2 2 2 2 2 3 2" xfId="2803" xr:uid="{00000000-0005-0000-0000-0000F6080000}"/>
    <cellStyle name="Normal 4 2 2 2 2 2 3 2 2" xfId="2804" xr:uid="{00000000-0005-0000-0000-0000F7080000}"/>
    <cellStyle name="Normal 4 2 2 2 2 2 3 2 3" xfId="2805" xr:uid="{00000000-0005-0000-0000-0000F8080000}"/>
    <cellStyle name="Normal 4 2 2 2 2 2 3 3" xfId="2806" xr:uid="{00000000-0005-0000-0000-0000F9080000}"/>
    <cellStyle name="Normal 4 2 2 2 2 2 3 4" xfId="2807" xr:uid="{00000000-0005-0000-0000-0000FA080000}"/>
    <cellStyle name="Normal 4 2 2 2 2 2 3 5" xfId="2808" xr:uid="{00000000-0005-0000-0000-0000FB080000}"/>
    <cellStyle name="Normal 4 2 2 2 2 2 4" xfId="2809" xr:uid="{00000000-0005-0000-0000-0000FC080000}"/>
    <cellStyle name="Normal 4 2 2 2 2 2 4 2" xfId="2810" xr:uid="{00000000-0005-0000-0000-0000FD080000}"/>
    <cellStyle name="Normal 4 2 2 2 2 2 4 2 2" xfId="2811" xr:uid="{00000000-0005-0000-0000-0000FE080000}"/>
    <cellStyle name="Normal 4 2 2 2 2 2 4 2 3" xfId="2812" xr:uid="{00000000-0005-0000-0000-0000FF080000}"/>
    <cellStyle name="Normal 4 2 2 2 2 2 4 3" xfId="2813" xr:uid="{00000000-0005-0000-0000-000000090000}"/>
    <cellStyle name="Normal 4 2 2 2 2 2 4 4" xfId="2814" xr:uid="{00000000-0005-0000-0000-000001090000}"/>
    <cellStyle name="Normal 4 2 2 2 2 2 4 5" xfId="2815" xr:uid="{00000000-0005-0000-0000-000002090000}"/>
    <cellStyle name="Normal 4 2 2 2 2 2 5" xfId="2816" xr:uid="{00000000-0005-0000-0000-000003090000}"/>
    <cellStyle name="Normal 4 2 2 2 2 2 5 2" xfId="2817" xr:uid="{00000000-0005-0000-0000-000004090000}"/>
    <cellStyle name="Normal 4 2 2 2 2 2 5 3" xfId="2818" xr:uid="{00000000-0005-0000-0000-000005090000}"/>
    <cellStyle name="Normal 4 2 2 2 2 2 6" xfId="2819" xr:uid="{00000000-0005-0000-0000-000006090000}"/>
    <cellStyle name="Normal 4 2 2 2 2 2 7" xfId="2820" xr:uid="{00000000-0005-0000-0000-000007090000}"/>
    <cellStyle name="Normal 4 2 2 2 2 2 8" xfId="2821" xr:uid="{00000000-0005-0000-0000-000008090000}"/>
    <cellStyle name="Normal 4 2 2 2 2 3" xfId="2822" xr:uid="{00000000-0005-0000-0000-000009090000}"/>
    <cellStyle name="Normal 4 2 2 2 2 3 2" xfId="2823" xr:uid="{00000000-0005-0000-0000-00000A090000}"/>
    <cellStyle name="Normal 4 2 2 2 2 3 2 2" xfId="2824" xr:uid="{00000000-0005-0000-0000-00000B090000}"/>
    <cellStyle name="Normal 4 2 2 2 2 3 2 2 2" xfId="2825" xr:uid="{00000000-0005-0000-0000-00000C090000}"/>
    <cellStyle name="Normal 4 2 2 2 2 3 2 2 3" xfId="2826" xr:uid="{00000000-0005-0000-0000-00000D090000}"/>
    <cellStyle name="Normal 4 2 2 2 2 3 2 3" xfId="2827" xr:uid="{00000000-0005-0000-0000-00000E090000}"/>
    <cellStyle name="Normal 4 2 2 2 2 3 2 4" xfId="2828" xr:uid="{00000000-0005-0000-0000-00000F090000}"/>
    <cellStyle name="Normal 4 2 2 2 2 3 2 5" xfId="2829" xr:uid="{00000000-0005-0000-0000-000010090000}"/>
    <cellStyle name="Normal 4 2 2 2 2 3 3" xfId="2830" xr:uid="{00000000-0005-0000-0000-000011090000}"/>
    <cellStyle name="Normal 4 2 2 2 2 3 3 2" xfId="2831" xr:uid="{00000000-0005-0000-0000-000012090000}"/>
    <cellStyle name="Normal 4 2 2 2 2 3 3 2 2" xfId="2832" xr:uid="{00000000-0005-0000-0000-000013090000}"/>
    <cellStyle name="Normal 4 2 2 2 2 3 3 2 3" xfId="2833" xr:uid="{00000000-0005-0000-0000-000014090000}"/>
    <cellStyle name="Normal 4 2 2 2 2 3 3 3" xfId="2834" xr:uid="{00000000-0005-0000-0000-000015090000}"/>
    <cellStyle name="Normal 4 2 2 2 2 3 3 4" xfId="2835" xr:uid="{00000000-0005-0000-0000-000016090000}"/>
    <cellStyle name="Normal 4 2 2 2 2 3 3 5" xfId="2836" xr:uid="{00000000-0005-0000-0000-000017090000}"/>
    <cellStyle name="Normal 4 2 2 2 2 3 4" xfId="2837" xr:uid="{00000000-0005-0000-0000-000018090000}"/>
    <cellStyle name="Normal 4 2 2 2 2 3 4 2" xfId="2838" xr:uid="{00000000-0005-0000-0000-000019090000}"/>
    <cellStyle name="Normal 4 2 2 2 2 3 4 3" xfId="2839" xr:uid="{00000000-0005-0000-0000-00001A090000}"/>
    <cellStyle name="Normal 4 2 2 2 2 3 5" xfId="2840" xr:uid="{00000000-0005-0000-0000-00001B090000}"/>
    <cellStyle name="Normal 4 2 2 2 2 3 6" xfId="2841" xr:uid="{00000000-0005-0000-0000-00001C090000}"/>
    <cellStyle name="Normal 4 2 2 2 2 3 7" xfId="2842" xr:uid="{00000000-0005-0000-0000-00001D090000}"/>
    <cellStyle name="Normal 4 2 2 2 2 4" xfId="2843" xr:uid="{00000000-0005-0000-0000-00001E090000}"/>
    <cellStyle name="Normal 4 2 2 2 2 4 2" xfId="2844" xr:uid="{00000000-0005-0000-0000-00001F090000}"/>
    <cellStyle name="Normal 4 2 2 2 2 4 2 2" xfId="2845" xr:uid="{00000000-0005-0000-0000-000020090000}"/>
    <cellStyle name="Normal 4 2 2 2 2 4 2 3" xfId="2846" xr:uid="{00000000-0005-0000-0000-000021090000}"/>
    <cellStyle name="Normal 4 2 2 2 2 4 3" xfId="2847" xr:uid="{00000000-0005-0000-0000-000022090000}"/>
    <cellStyle name="Normal 4 2 2 2 2 4 4" xfId="2848" xr:uid="{00000000-0005-0000-0000-000023090000}"/>
    <cellStyle name="Normal 4 2 2 2 2 4 5" xfId="2849" xr:uid="{00000000-0005-0000-0000-000024090000}"/>
    <cellStyle name="Normal 4 2 2 2 2 5" xfId="2850" xr:uid="{00000000-0005-0000-0000-000025090000}"/>
    <cellStyle name="Normal 4 2 2 2 2 5 2" xfId="2851" xr:uid="{00000000-0005-0000-0000-000026090000}"/>
    <cellStyle name="Normal 4 2 2 2 2 5 2 2" xfId="2852" xr:uid="{00000000-0005-0000-0000-000027090000}"/>
    <cellStyle name="Normal 4 2 2 2 2 5 2 3" xfId="2853" xr:uid="{00000000-0005-0000-0000-000028090000}"/>
    <cellStyle name="Normal 4 2 2 2 2 5 3" xfId="2854" xr:uid="{00000000-0005-0000-0000-000029090000}"/>
    <cellStyle name="Normal 4 2 2 2 2 5 4" xfId="2855" xr:uid="{00000000-0005-0000-0000-00002A090000}"/>
    <cellStyle name="Normal 4 2 2 2 2 5 5" xfId="2856" xr:uid="{00000000-0005-0000-0000-00002B090000}"/>
    <cellStyle name="Normal 4 2 2 2 2 6" xfId="2857" xr:uid="{00000000-0005-0000-0000-00002C090000}"/>
    <cellStyle name="Normal 4 2 2 2 2 6 2" xfId="2858" xr:uid="{00000000-0005-0000-0000-00002D090000}"/>
    <cellStyle name="Normal 4 2 2 2 2 6 3" xfId="2859" xr:uid="{00000000-0005-0000-0000-00002E090000}"/>
    <cellStyle name="Normal 4 2 2 2 2 7" xfId="2860" xr:uid="{00000000-0005-0000-0000-00002F090000}"/>
    <cellStyle name="Normal 4 2 2 2 2 8" xfId="2861" xr:uid="{00000000-0005-0000-0000-000030090000}"/>
    <cellStyle name="Normal 4 2 2 2 2 9" xfId="2862" xr:uid="{00000000-0005-0000-0000-000031090000}"/>
    <cellStyle name="Normal 4 2 2 2 3" xfId="2863" xr:uid="{00000000-0005-0000-0000-000032090000}"/>
    <cellStyle name="Normal 4 2 2 2 3 2" xfId="2864" xr:uid="{00000000-0005-0000-0000-000033090000}"/>
    <cellStyle name="Normal 4 2 2 2 3 2 2" xfId="2865" xr:uid="{00000000-0005-0000-0000-000034090000}"/>
    <cellStyle name="Normal 4 2 2 2 3 2 2 2" xfId="2866" xr:uid="{00000000-0005-0000-0000-000035090000}"/>
    <cellStyle name="Normal 4 2 2 2 3 2 2 2 2" xfId="2867" xr:uid="{00000000-0005-0000-0000-000036090000}"/>
    <cellStyle name="Normal 4 2 2 2 3 2 2 2 2 2" xfId="2868" xr:uid="{00000000-0005-0000-0000-000037090000}"/>
    <cellStyle name="Normal 4 2 2 2 3 2 2 2 2 3" xfId="2869" xr:uid="{00000000-0005-0000-0000-000038090000}"/>
    <cellStyle name="Normal 4 2 2 2 3 2 2 2 3" xfId="2870" xr:uid="{00000000-0005-0000-0000-000039090000}"/>
    <cellStyle name="Normal 4 2 2 2 3 2 2 2 4" xfId="2871" xr:uid="{00000000-0005-0000-0000-00003A090000}"/>
    <cellStyle name="Normal 4 2 2 2 3 2 2 2 5" xfId="2872" xr:uid="{00000000-0005-0000-0000-00003B090000}"/>
    <cellStyle name="Normal 4 2 2 2 3 2 2 3" xfId="2873" xr:uid="{00000000-0005-0000-0000-00003C090000}"/>
    <cellStyle name="Normal 4 2 2 2 3 2 2 3 2" xfId="2874" xr:uid="{00000000-0005-0000-0000-00003D090000}"/>
    <cellStyle name="Normal 4 2 2 2 3 2 2 3 2 2" xfId="2875" xr:uid="{00000000-0005-0000-0000-00003E090000}"/>
    <cellStyle name="Normal 4 2 2 2 3 2 2 3 2 3" xfId="2876" xr:uid="{00000000-0005-0000-0000-00003F090000}"/>
    <cellStyle name="Normal 4 2 2 2 3 2 2 3 3" xfId="2877" xr:uid="{00000000-0005-0000-0000-000040090000}"/>
    <cellStyle name="Normal 4 2 2 2 3 2 2 3 4" xfId="2878" xr:uid="{00000000-0005-0000-0000-000041090000}"/>
    <cellStyle name="Normal 4 2 2 2 3 2 2 3 5" xfId="2879" xr:uid="{00000000-0005-0000-0000-000042090000}"/>
    <cellStyle name="Normal 4 2 2 2 3 2 2 4" xfId="2880" xr:uid="{00000000-0005-0000-0000-000043090000}"/>
    <cellStyle name="Normal 4 2 2 2 3 2 2 4 2" xfId="2881" xr:uid="{00000000-0005-0000-0000-000044090000}"/>
    <cellStyle name="Normal 4 2 2 2 3 2 2 4 3" xfId="2882" xr:uid="{00000000-0005-0000-0000-000045090000}"/>
    <cellStyle name="Normal 4 2 2 2 3 2 2 5" xfId="2883" xr:uid="{00000000-0005-0000-0000-000046090000}"/>
    <cellStyle name="Normal 4 2 2 2 3 2 2 6" xfId="2884" xr:uid="{00000000-0005-0000-0000-000047090000}"/>
    <cellStyle name="Normal 4 2 2 2 3 2 2 7" xfId="2885" xr:uid="{00000000-0005-0000-0000-000048090000}"/>
    <cellStyle name="Normal 4 2 2 2 3 2 3" xfId="2886" xr:uid="{00000000-0005-0000-0000-000049090000}"/>
    <cellStyle name="Normal 4 2 2 2 3 2 3 2" xfId="2887" xr:uid="{00000000-0005-0000-0000-00004A090000}"/>
    <cellStyle name="Normal 4 2 2 2 3 2 3 2 2" xfId="2888" xr:uid="{00000000-0005-0000-0000-00004B090000}"/>
    <cellStyle name="Normal 4 2 2 2 3 2 3 2 3" xfId="2889" xr:uid="{00000000-0005-0000-0000-00004C090000}"/>
    <cellStyle name="Normal 4 2 2 2 3 2 3 3" xfId="2890" xr:uid="{00000000-0005-0000-0000-00004D090000}"/>
    <cellStyle name="Normal 4 2 2 2 3 2 3 4" xfId="2891" xr:uid="{00000000-0005-0000-0000-00004E090000}"/>
    <cellStyle name="Normal 4 2 2 2 3 2 3 5" xfId="2892" xr:uid="{00000000-0005-0000-0000-00004F090000}"/>
    <cellStyle name="Normal 4 2 2 2 3 2 4" xfId="2893" xr:uid="{00000000-0005-0000-0000-000050090000}"/>
    <cellStyle name="Normal 4 2 2 2 3 2 4 2" xfId="2894" xr:uid="{00000000-0005-0000-0000-000051090000}"/>
    <cellStyle name="Normal 4 2 2 2 3 2 4 2 2" xfId="2895" xr:uid="{00000000-0005-0000-0000-000052090000}"/>
    <cellStyle name="Normal 4 2 2 2 3 2 4 2 3" xfId="2896" xr:uid="{00000000-0005-0000-0000-000053090000}"/>
    <cellStyle name="Normal 4 2 2 2 3 2 4 3" xfId="2897" xr:uid="{00000000-0005-0000-0000-000054090000}"/>
    <cellStyle name="Normal 4 2 2 2 3 2 4 4" xfId="2898" xr:uid="{00000000-0005-0000-0000-000055090000}"/>
    <cellStyle name="Normal 4 2 2 2 3 2 4 5" xfId="2899" xr:uid="{00000000-0005-0000-0000-000056090000}"/>
    <cellStyle name="Normal 4 2 2 2 3 2 5" xfId="2900" xr:uid="{00000000-0005-0000-0000-000057090000}"/>
    <cellStyle name="Normal 4 2 2 2 3 2 5 2" xfId="2901" xr:uid="{00000000-0005-0000-0000-000058090000}"/>
    <cellStyle name="Normal 4 2 2 2 3 2 5 3" xfId="2902" xr:uid="{00000000-0005-0000-0000-000059090000}"/>
    <cellStyle name="Normal 4 2 2 2 3 2 6" xfId="2903" xr:uid="{00000000-0005-0000-0000-00005A090000}"/>
    <cellStyle name="Normal 4 2 2 2 3 2 7" xfId="2904" xr:uid="{00000000-0005-0000-0000-00005B090000}"/>
    <cellStyle name="Normal 4 2 2 2 3 2 8" xfId="2905" xr:uid="{00000000-0005-0000-0000-00005C090000}"/>
    <cellStyle name="Normal 4 2 2 2 3 3" xfId="2906" xr:uid="{00000000-0005-0000-0000-00005D090000}"/>
    <cellStyle name="Normal 4 2 2 2 3 3 2" xfId="2907" xr:uid="{00000000-0005-0000-0000-00005E090000}"/>
    <cellStyle name="Normal 4 2 2 2 3 3 2 2" xfId="2908" xr:uid="{00000000-0005-0000-0000-00005F090000}"/>
    <cellStyle name="Normal 4 2 2 2 3 3 2 2 2" xfId="2909" xr:uid="{00000000-0005-0000-0000-000060090000}"/>
    <cellStyle name="Normal 4 2 2 2 3 3 2 2 3" xfId="2910" xr:uid="{00000000-0005-0000-0000-000061090000}"/>
    <cellStyle name="Normal 4 2 2 2 3 3 2 3" xfId="2911" xr:uid="{00000000-0005-0000-0000-000062090000}"/>
    <cellStyle name="Normal 4 2 2 2 3 3 2 4" xfId="2912" xr:uid="{00000000-0005-0000-0000-000063090000}"/>
    <cellStyle name="Normal 4 2 2 2 3 3 2 5" xfId="2913" xr:uid="{00000000-0005-0000-0000-000064090000}"/>
    <cellStyle name="Normal 4 2 2 2 3 3 3" xfId="2914" xr:uid="{00000000-0005-0000-0000-000065090000}"/>
    <cellStyle name="Normal 4 2 2 2 3 3 3 2" xfId="2915" xr:uid="{00000000-0005-0000-0000-000066090000}"/>
    <cellStyle name="Normal 4 2 2 2 3 3 3 2 2" xfId="2916" xr:uid="{00000000-0005-0000-0000-000067090000}"/>
    <cellStyle name="Normal 4 2 2 2 3 3 3 2 3" xfId="2917" xr:uid="{00000000-0005-0000-0000-000068090000}"/>
    <cellStyle name="Normal 4 2 2 2 3 3 3 3" xfId="2918" xr:uid="{00000000-0005-0000-0000-000069090000}"/>
    <cellStyle name="Normal 4 2 2 2 3 3 3 4" xfId="2919" xr:uid="{00000000-0005-0000-0000-00006A090000}"/>
    <cellStyle name="Normal 4 2 2 2 3 3 3 5" xfId="2920" xr:uid="{00000000-0005-0000-0000-00006B090000}"/>
    <cellStyle name="Normal 4 2 2 2 3 3 4" xfId="2921" xr:uid="{00000000-0005-0000-0000-00006C090000}"/>
    <cellStyle name="Normal 4 2 2 2 3 3 4 2" xfId="2922" xr:uid="{00000000-0005-0000-0000-00006D090000}"/>
    <cellStyle name="Normal 4 2 2 2 3 3 4 3" xfId="2923" xr:uid="{00000000-0005-0000-0000-00006E090000}"/>
    <cellStyle name="Normal 4 2 2 2 3 3 5" xfId="2924" xr:uid="{00000000-0005-0000-0000-00006F090000}"/>
    <cellStyle name="Normal 4 2 2 2 3 3 6" xfId="2925" xr:uid="{00000000-0005-0000-0000-000070090000}"/>
    <cellStyle name="Normal 4 2 2 2 3 3 7" xfId="2926" xr:uid="{00000000-0005-0000-0000-000071090000}"/>
    <cellStyle name="Normal 4 2 2 2 3 4" xfId="2927" xr:uid="{00000000-0005-0000-0000-000072090000}"/>
    <cellStyle name="Normal 4 2 2 2 3 4 2" xfId="2928" xr:uid="{00000000-0005-0000-0000-000073090000}"/>
    <cellStyle name="Normal 4 2 2 2 3 4 2 2" xfId="2929" xr:uid="{00000000-0005-0000-0000-000074090000}"/>
    <cellStyle name="Normal 4 2 2 2 3 4 2 3" xfId="2930" xr:uid="{00000000-0005-0000-0000-000075090000}"/>
    <cellStyle name="Normal 4 2 2 2 3 4 3" xfId="2931" xr:uid="{00000000-0005-0000-0000-000076090000}"/>
    <cellStyle name="Normal 4 2 2 2 3 4 4" xfId="2932" xr:uid="{00000000-0005-0000-0000-000077090000}"/>
    <cellStyle name="Normal 4 2 2 2 3 4 5" xfId="2933" xr:uid="{00000000-0005-0000-0000-000078090000}"/>
    <cellStyle name="Normal 4 2 2 2 3 5" xfId="2934" xr:uid="{00000000-0005-0000-0000-000079090000}"/>
    <cellStyle name="Normal 4 2 2 2 3 5 2" xfId="2935" xr:uid="{00000000-0005-0000-0000-00007A090000}"/>
    <cellStyle name="Normal 4 2 2 2 3 5 2 2" xfId="2936" xr:uid="{00000000-0005-0000-0000-00007B090000}"/>
    <cellStyle name="Normal 4 2 2 2 3 5 2 3" xfId="2937" xr:uid="{00000000-0005-0000-0000-00007C090000}"/>
    <cellStyle name="Normal 4 2 2 2 3 5 3" xfId="2938" xr:uid="{00000000-0005-0000-0000-00007D090000}"/>
    <cellStyle name="Normal 4 2 2 2 3 5 4" xfId="2939" xr:uid="{00000000-0005-0000-0000-00007E090000}"/>
    <cellStyle name="Normal 4 2 2 2 3 5 5" xfId="2940" xr:uid="{00000000-0005-0000-0000-00007F090000}"/>
    <cellStyle name="Normal 4 2 2 2 3 6" xfId="2941" xr:uid="{00000000-0005-0000-0000-000080090000}"/>
    <cellStyle name="Normal 4 2 2 2 3 6 2" xfId="2942" xr:uid="{00000000-0005-0000-0000-000081090000}"/>
    <cellStyle name="Normal 4 2 2 2 3 6 3" xfId="2943" xr:uid="{00000000-0005-0000-0000-000082090000}"/>
    <cellStyle name="Normal 4 2 2 2 3 7" xfId="2944" xr:uid="{00000000-0005-0000-0000-000083090000}"/>
    <cellStyle name="Normal 4 2 2 2 3 8" xfId="2945" xr:uid="{00000000-0005-0000-0000-000084090000}"/>
    <cellStyle name="Normal 4 2 2 2 3 9" xfId="2946" xr:uid="{00000000-0005-0000-0000-000085090000}"/>
    <cellStyle name="Normal 4 2 2 2 4" xfId="2947" xr:uid="{00000000-0005-0000-0000-000086090000}"/>
    <cellStyle name="Normal 4 2 2 2 4 2" xfId="2948" xr:uid="{00000000-0005-0000-0000-000087090000}"/>
    <cellStyle name="Normal 4 2 2 2 4 2 2" xfId="2949" xr:uid="{00000000-0005-0000-0000-000088090000}"/>
    <cellStyle name="Normal 4 2 2 2 4 2 2 2" xfId="2950" xr:uid="{00000000-0005-0000-0000-000089090000}"/>
    <cellStyle name="Normal 4 2 2 2 4 2 2 2 2" xfId="2951" xr:uid="{00000000-0005-0000-0000-00008A090000}"/>
    <cellStyle name="Normal 4 2 2 2 4 2 2 2 2 2" xfId="2952" xr:uid="{00000000-0005-0000-0000-00008B090000}"/>
    <cellStyle name="Normal 4 2 2 2 4 2 2 2 2 3" xfId="2953" xr:uid="{00000000-0005-0000-0000-00008C090000}"/>
    <cellStyle name="Normal 4 2 2 2 4 2 2 2 3" xfId="2954" xr:uid="{00000000-0005-0000-0000-00008D090000}"/>
    <cellStyle name="Normal 4 2 2 2 4 2 2 2 4" xfId="2955" xr:uid="{00000000-0005-0000-0000-00008E090000}"/>
    <cellStyle name="Normal 4 2 2 2 4 2 2 2 5" xfId="2956" xr:uid="{00000000-0005-0000-0000-00008F090000}"/>
    <cellStyle name="Normal 4 2 2 2 4 2 2 3" xfId="2957" xr:uid="{00000000-0005-0000-0000-000090090000}"/>
    <cellStyle name="Normal 4 2 2 2 4 2 2 3 2" xfId="2958" xr:uid="{00000000-0005-0000-0000-000091090000}"/>
    <cellStyle name="Normal 4 2 2 2 4 2 2 3 2 2" xfId="2959" xr:uid="{00000000-0005-0000-0000-000092090000}"/>
    <cellStyle name="Normal 4 2 2 2 4 2 2 3 2 3" xfId="2960" xr:uid="{00000000-0005-0000-0000-000093090000}"/>
    <cellStyle name="Normal 4 2 2 2 4 2 2 3 3" xfId="2961" xr:uid="{00000000-0005-0000-0000-000094090000}"/>
    <cellStyle name="Normal 4 2 2 2 4 2 2 3 4" xfId="2962" xr:uid="{00000000-0005-0000-0000-000095090000}"/>
    <cellStyle name="Normal 4 2 2 2 4 2 2 3 5" xfId="2963" xr:uid="{00000000-0005-0000-0000-000096090000}"/>
    <cellStyle name="Normal 4 2 2 2 4 2 2 4" xfId="2964" xr:uid="{00000000-0005-0000-0000-000097090000}"/>
    <cellStyle name="Normal 4 2 2 2 4 2 2 4 2" xfId="2965" xr:uid="{00000000-0005-0000-0000-000098090000}"/>
    <cellStyle name="Normal 4 2 2 2 4 2 2 4 3" xfId="2966" xr:uid="{00000000-0005-0000-0000-000099090000}"/>
    <cellStyle name="Normal 4 2 2 2 4 2 2 5" xfId="2967" xr:uid="{00000000-0005-0000-0000-00009A090000}"/>
    <cellStyle name="Normal 4 2 2 2 4 2 2 6" xfId="2968" xr:uid="{00000000-0005-0000-0000-00009B090000}"/>
    <cellStyle name="Normal 4 2 2 2 4 2 2 7" xfId="2969" xr:uid="{00000000-0005-0000-0000-00009C090000}"/>
    <cellStyle name="Normal 4 2 2 2 4 2 3" xfId="2970" xr:uid="{00000000-0005-0000-0000-00009D090000}"/>
    <cellStyle name="Normal 4 2 2 2 4 2 3 2" xfId="2971" xr:uid="{00000000-0005-0000-0000-00009E090000}"/>
    <cellStyle name="Normal 4 2 2 2 4 2 3 2 2" xfId="2972" xr:uid="{00000000-0005-0000-0000-00009F090000}"/>
    <cellStyle name="Normal 4 2 2 2 4 2 3 2 3" xfId="2973" xr:uid="{00000000-0005-0000-0000-0000A0090000}"/>
    <cellStyle name="Normal 4 2 2 2 4 2 3 3" xfId="2974" xr:uid="{00000000-0005-0000-0000-0000A1090000}"/>
    <cellStyle name="Normal 4 2 2 2 4 2 3 4" xfId="2975" xr:uid="{00000000-0005-0000-0000-0000A2090000}"/>
    <cellStyle name="Normal 4 2 2 2 4 2 3 5" xfId="2976" xr:uid="{00000000-0005-0000-0000-0000A3090000}"/>
    <cellStyle name="Normal 4 2 2 2 4 2 4" xfId="2977" xr:uid="{00000000-0005-0000-0000-0000A4090000}"/>
    <cellStyle name="Normal 4 2 2 2 4 2 4 2" xfId="2978" xr:uid="{00000000-0005-0000-0000-0000A5090000}"/>
    <cellStyle name="Normal 4 2 2 2 4 2 4 2 2" xfId="2979" xr:uid="{00000000-0005-0000-0000-0000A6090000}"/>
    <cellStyle name="Normal 4 2 2 2 4 2 4 2 3" xfId="2980" xr:uid="{00000000-0005-0000-0000-0000A7090000}"/>
    <cellStyle name="Normal 4 2 2 2 4 2 4 3" xfId="2981" xr:uid="{00000000-0005-0000-0000-0000A8090000}"/>
    <cellStyle name="Normal 4 2 2 2 4 2 4 4" xfId="2982" xr:uid="{00000000-0005-0000-0000-0000A9090000}"/>
    <cellStyle name="Normal 4 2 2 2 4 2 4 5" xfId="2983" xr:uid="{00000000-0005-0000-0000-0000AA090000}"/>
    <cellStyle name="Normal 4 2 2 2 4 2 5" xfId="2984" xr:uid="{00000000-0005-0000-0000-0000AB090000}"/>
    <cellStyle name="Normal 4 2 2 2 4 2 5 2" xfId="2985" xr:uid="{00000000-0005-0000-0000-0000AC090000}"/>
    <cellStyle name="Normal 4 2 2 2 4 2 5 3" xfId="2986" xr:uid="{00000000-0005-0000-0000-0000AD090000}"/>
    <cellStyle name="Normal 4 2 2 2 4 2 6" xfId="2987" xr:uid="{00000000-0005-0000-0000-0000AE090000}"/>
    <cellStyle name="Normal 4 2 2 2 4 2 7" xfId="2988" xr:uid="{00000000-0005-0000-0000-0000AF090000}"/>
    <cellStyle name="Normal 4 2 2 2 4 2 8" xfId="2989" xr:uid="{00000000-0005-0000-0000-0000B0090000}"/>
    <cellStyle name="Normal 4 2 2 2 4 3" xfId="2990" xr:uid="{00000000-0005-0000-0000-0000B1090000}"/>
    <cellStyle name="Normal 4 2 2 2 4 3 2" xfId="2991" xr:uid="{00000000-0005-0000-0000-0000B2090000}"/>
    <cellStyle name="Normal 4 2 2 2 4 3 2 2" xfId="2992" xr:uid="{00000000-0005-0000-0000-0000B3090000}"/>
    <cellStyle name="Normal 4 2 2 2 4 3 2 2 2" xfId="2993" xr:uid="{00000000-0005-0000-0000-0000B4090000}"/>
    <cellStyle name="Normal 4 2 2 2 4 3 2 2 3" xfId="2994" xr:uid="{00000000-0005-0000-0000-0000B5090000}"/>
    <cellStyle name="Normal 4 2 2 2 4 3 2 3" xfId="2995" xr:uid="{00000000-0005-0000-0000-0000B6090000}"/>
    <cellStyle name="Normal 4 2 2 2 4 3 2 4" xfId="2996" xr:uid="{00000000-0005-0000-0000-0000B7090000}"/>
    <cellStyle name="Normal 4 2 2 2 4 3 2 5" xfId="2997" xr:uid="{00000000-0005-0000-0000-0000B8090000}"/>
    <cellStyle name="Normal 4 2 2 2 4 3 3" xfId="2998" xr:uid="{00000000-0005-0000-0000-0000B9090000}"/>
    <cellStyle name="Normal 4 2 2 2 4 3 3 2" xfId="2999" xr:uid="{00000000-0005-0000-0000-0000BA090000}"/>
    <cellStyle name="Normal 4 2 2 2 4 3 3 2 2" xfId="3000" xr:uid="{00000000-0005-0000-0000-0000BB090000}"/>
    <cellStyle name="Normal 4 2 2 2 4 3 3 2 3" xfId="3001" xr:uid="{00000000-0005-0000-0000-0000BC090000}"/>
    <cellStyle name="Normal 4 2 2 2 4 3 3 3" xfId="3002" xr:uid="{00000000-0005-0000-0000-0000BD090000}"/>
    <cellStyle name="Normal 4 2 2 2 4 3 3 4" xfId="3003" xr:uid="{00000000-0005-0000-0000-0000BE090000}"/>
    <cellStyle name="Normal 4 2 2 2 4 3 3 5" xfId="3004" xr:uid="{00000000-0005-0000-0000-0000BF090000}"/>
    <cellStyle name="Normal 4 2 2 2 4 3 4" xfId="3005" xr:uid="{00000000-0005-0000-0000-0000C0090000}"/>
    <cellStyle name="Normal 4 2 2 2 4 3 4 2" xfId="3006" xr:uid="{00000000-0005-0000-0000-0000C1090000}"/>
    <cellStyle name="Normal 4 2 2 2 4 3 4 3" xfId="3007" xr:uid="{00000000-0005-0000-0000-0000C2090000}"/>
    <cellStyle name="Normal 4 2 2 2 4 3 5" xfId="3008" xr:uid="{00000000-0005-0000-0000-0000C3090000}"/>
    <cellStyle name="Normal 4 2 2 2 4 3 6" xfId="3009" xr:uid="{00000000-0005-0000-0000-0000C4090000}"/>
    <cellStyle name="Normal 4 2 2 2 4 3 7" xfId="3010" xr:uid="{00000000-0005-0000-0000-0000C5090000}"/>
    <cellStyle name="Normal 4 2 2 2 4 4" xfId="3011" xr:uid="{00000000-0005-0000-0000-0000C6090000}"/>
    <cellStyle name="Normal 4 2 2 2 4 4 2" xfId="3012" xr:uid="{00000000-0005-0000-0000-0000C7090000}"/>
    <cellStyle name="Normal 4 2 2 2 4 4 2 2" xfId="3013" xr:uid="{00000000-0005-0000-0000-0000C8090000}"/>
    <cellStyle name="Normal 4 2 2 2 4 4 2 3" xfId="3014" xr:uid="{00000000-0005-0000-0000-0000C9090000}"/>
    <cellStyle name="Normal 4 2 2 2 4 4 3" xfId="3015" xr:uid="{00000000-0005-0000-0000-0000CA090000}"/>
    <cellStyle name="Normal 4 2 2 2 4 4 4" xfId="3016" xr:uid="{00000000-0005-0000-0000-0000CB090000}"/>
    <cellStyle name="Normal 4 2 2 2 4 4 5" xfId="3017" xr:uid="{00000000-0005-0000-0000-0000CC090000}"/>
    <cellStyle name="Normal 4 2 2 2 4 5" xfId="3018" xr:uid="{00000000-0005-0000-0000-0000CD090000}"/>
    <cellStyle name="Normal 4 2 2 2 4 5 2" xfId="3019" xr:uid="{00000000-0005-0000-0000-0000CE090000}"/>
    <cellStyle name="Normal 4 2 2 2 4 5 2 2" xfId="3020" xr:uid="{00000000-0005-0000-0000-0000CF090000}"/>
    <cellStyle name="Normal 4 2 2 2 4 5 2 3" xfId="3021" xr:uid="{00000000-0005-0000-0000-0000D0090000}"/>
    <cellStyle name="Normal 4 2 2 2 4 5 3" xfId="3022" xr:uid="{00000000-0005-0000-0000-0000D1090000}"/>
    <cellStyle name="Normal 4 2 2 2 4 5 4" xfId="3023" xr:uid="{00000000-0005-0000-0000-0000D2090000}"/>
    <cellStyle name="Normal 4 2 2 2 4 5 5" xfId="3024" xr:uid="{00000000-0005-0000-0000-0000D3090000}"/>
    <cellStyle name="Normal 4 2 2 2 4 6" xfId="3025" xr:uid="{00000000-0005-0000-0000-0000D4090000}"/>
    <cellStyle name="Normal 4 2 2 2 4 6 2" xfId="3026" xr:uid="{00000000-0005-0000-0000-0000D5090000}"/>
    <cellStyle name="Normal 4 2 2 2 4 6 3" xfId="3027" xr:uid="{00000000-0005-0000-0000-0000D6090000}"/>
    <cellStyle name="Normal 4 2 2 2 4 7" xfId="3028" xr:uid="{00000000-0005-0000-0000-0000D7090000}"/>
    <cellStyle name="Normal 4 2 2 2 4 8" xfId="3029" xr:uid="{00000000-0005-0000-0000-0000D8090000}"/>
    <cellStyle name="Normal 4 2 2 2 4 9" xfId="3030" xr:uid="{00000000-0005-0000-0000-0000D9090000}"/>
    <cellStyle name="Normal 4 2 2 2 5" xfId="3031" xr:uid="{00000000-0005-0000-0000-0000DA090000}"/>
    <cellStyle name="Normal 4 2 2 2 5 2" xfId="3032" xr:uid="{00000000-0005-0000-0000-0000DB090000}"/>
    <cellStyle name="Normal 4 2 2 2 5 2 2" xfId="3033" xr:uid="{00000000-0005-0000-0000-0000DC090000}"/>
    <cellStyle name="Normal 4 2 2 2 5 2 2 2" xfId="3034" xr:uid="{00000000-0005-0000-0000-0000DD090000}"/>
    <cellStyle name="Normal 4 2 2 2 5 2 2 2 2" xfId="3035" xr:uid="{00000000-0005-0000-0000-0000DE090000}"/>
    <cellStyle name="Normal 4 2 2 2 5 2 2 2 3" xfId="3036" xr:uid="{00000000-0005-0000-0000-0000DF090000}"/>
    <cellStyle name="Normal 4 2 2 2 5 2 2 3" xfId="3037" xr:uid="{00000000-0005-0000-0000-0000E0090000}"/>
    <cellStyle name="Normal 4 2 2 2 5 2 2 4" xfId="3038" xr:uid="{00000000-0005-0000-0000-0000E1090000}"/>
    <cellStyle name="Normal 4 2 2 2 5 2 2 5" xfId="3039" xr:uid="{00000000-0005-0000-0000-0000E2090000}"/>
    <cellStyle name="Normal 4 2 2 2 5 2 3" xfId="3040" xr:uid="{00000000-0005-0000-0000-0000E3090000}"/>
    <cellStyle name="Normal 4 2 2 2 5 2 3 2" xfId="3041" xr:uid="{00000000-0005-0000-0000-0000E4090000}"/>
    <cellStyle name="Normal 4 2 2 2 5 2 3 2 2" xfId="3042" xr:uid="{00000000-0005-0000-0000-0000E5090000}"/>
    <cellStyle name="Normal 4 2 2 2 5 2 3 2 3" xfId="3043" xr:uid="{00000000-0005-0000-0000-0000E6090000}"/>
    <cellStyle name="Normal 4 2 2 2 5 2 3 3" xfId="3044" xr:uid="{00000000-0005-0000-0000-0000E7090000}"/>
    <cellStyle name="Normal 4 2 2 2 5 2 3 4" xfId="3045" xr:uid="{00000000-0005-0000-0000-0000E8090000}"/>
    <cellStyle name="Normal 4 2 2 2 5 2 3 5" xfId="3046" xr:uid="{00000000-0005-0000-0000-0000E9090000}"/>
    <cellStyle name="Normal 4 2 2 2 5 2 4" xfId="3047" xr:uid="{00000000-0005-0000-0000-0000EA090000}"/>
    <cellStyle name="Normal 4 2 2 2 5 2 4 2" xfId="3048" xr:uid="{00000000-0005-0000-0000-0000EB090000}"/>
    <cellStyle name="Normal 4 2 2 2 5 2 4 3" xfId="3049" xr:uid="{00000000-0005-0000-0000-0000EC090000}"/>
    <cellStyle name="Normal 4 2 2 2 5 2 5" xfId="3050" xr:uid="{00000000-0005-0000-0000-0000ED090000}"/>
    <cellStyle name="Normal 4 2 2 2 5 2 6" xfId="3051" xr:uid="{00000000-0005-0000-0000-0000EE090000}"/>
    <cellStyle name="Normal 4 2 2 2 5 2 7" xfId="3052" xr:uid="{00000000-0005-0000-0000-0000EF090000}"/>
    <cellStyle name="Normal 4 2 2 2 5 3" xfId="3053" xr:uid="{00000000-0005-0000-0000-0000F0090000}"/>
    <cellStyle name="Normal 4 2 2 2 5 3 2" xfId="3054" xr:uid="{00000000-0005-0000-0000-0000F1090000}"/>
    <cellStyle name="Normal 4 2 2 2 5 3 2 2" xfId="3055" xr:uid="{00000000-0005-0000-0000-0000F2090000}"/>
    <cellStyle name="Normal 4 2 2 2 5 3 2 3" xfId="3056" xr:uid="{00000000-0005-0000-0000-0000F3090000}"/>
    <cellStyle name="Normal 4 2 2 2 5 3 3" xfId="3057" xr:uid="{00000000-0005-0000-0000-0000F4090000}"/>
    <cellStyle name="Normal 4 2 2 2 5 3 4" xfId="3058" xr:uid="{00000000-0005-0000-0000-0000F5090000}"/>
    <cellStyle name="Normal 4 2 2 2 5 3 5" xfId="3059" xr:uid="{00000000-0005-0000-0000-0000F6090000}"/>
    <cellStyle name="Normal 4 2 2 2 5 4" xfId="3060" xr:uid="{00000000-0005-0000-0000-0000F7090000}"/>
    <cellStyle name="Normal 4 2 2 2 5 4 2" xfId="3061" xr:uid="{00000000-0005-0000-0000-0000F8090000}"/>
    <cellStyle name="Normal 4 2 2 2 5 4 2 2" xfId="3062" xr:uid="{00000000-0005-0000-0000-0000F9090000}"/>
    <cellStyle name="Normal 4 2 2 2 5 4 2 3" xfId="3063" xr:uid="{00000000-0005-0000-0000-0000FA090000}"/>
    <cellStyle name="Normal 4 2 2 2 5 4 3" xfId="3064" xr:uid="{00000000-0005-0000-0000-0000FB090000}"/>
    <cellStyle name="Normal 4 2 2 2 5 4 4" xfId="3065" xr:uid="{00000000-0005-0000-0000-0000FC090000}"/>
    <cellStyle name="Normal 4 2 2 2 5 4 5" xfId="3066" xr:uid="{00000000-0005-0000-0000-0000FD090000}"/>
    <cellStyle name="Normal 4 2 2 2 5 5" xfId="3067" xr:uid="{00000000-0005-0000-0000-0000FE090000}"/>
    <cellStyle name="Normal 4 2 2 2 5 5 2" xfId="3068" xr:uid="{00000000-0005-0000-0000-0000FF090000}"/>
    <cellStyle name="Normal 4 2 2 2 5 5 3" xfId="3069" xr:uid="{00000000-0005-0000-0000-0000000A0000}"/>
    <cellStyle name="Normal 4 2 2 2 5 6" xfId="3070" xr:uid="{00000000-0005-0000-0000-0000010A0000}"/>
    <cellStyle name="Normal 4 2 2 2 5 7" xfId="3071" xr:uid="{00000000-0005-0000-0000-0000020A0000}"/>
    <cellStyle name="Normal 4 2 2 2 5 8" xfId="3072" xr:uid="{00000000-0005-0000-0000-0000030A0000}"/>
    <cellStyle name="Normal 4 2 2 2 6" xfId="3073" xr:uid="{00000000-0005-0000-0000-0000040A0000}"/>
    <cellStyle name="Normal 4 2 2 2 6 2" xfId="3074" xr:uid="{00000000-0005-0000-0000-0000050A0000}"/>
    <cellStyle name="Normal 4 2 2 2 6 2 2" xfId="3075" xr:uid="{00000000-0005-0000-0000-0000060A0000}"/>
    <cellStyle name="Normal 4 2 2 2 6 2 2 2" xfId="3076" xr:uid="{00000000-0005-0000-0000-0000070A0000}"/>
    <cellStyle name="Normal 4 2 2 2 6 2 2 3" xfId="3077" xr:uid="{00000000-0005-0000-0000-0000080A0000}"/>
    <cellStyle name="Normal 4 2 2 2 6 2 3" xfId="3078" xr:uid="{00000000-0005-0000-0000-0000090A0000}"/>
    <cellStyle name="Normal 4 2 2 2 6 2 4" xfId="3079" xr:uid="{00000000-0005-0000-0000-00000A0A0000}"/>
    <cellStyle name="Normal 4 2 2 2 6 2 5" xfId="3080" xr:uid="{00000000-0005-0000-0000-00000B0A0000}"/>
    <cellStyle name="Normal 4 2 2 2 6 3" xfId="3081" xr:uid="{00000000-0005-0000-0000-00000C0A0000}"/>
    <cellStyle name="Normal 4 2 2 2 6 3 2" xfId="3082" xr:uid="{00000000-0005-0000-0000-00000D0A0000}"/>
    <cellStyle name="Normal 4 2 2 2 6 3 2 2" xfId="3083" xr:uid="{00000000-0005-0000-0000-00000E0A0000}"/>
    <cellStyle name="Normal 4 2 2 2 6 3 2 3" xfId="3084" xr:uid="{00000000-0005-0000-0000-00000F0A0000}"/>
    <cellStyle name="Normal 4 2 2 2 6 3 3" xfId="3085" xr:uid="{00000000-0005-0000-0000-0000100A0000}"/>
    <cellStyle name="Normal 4 2 2 2 6 3 4" xfId="3086" xr:uid="{00000000-0005-0000-0000-0000110A0000}"/>
    <cellStyle name="Normal 4 2 2 2 6 3 5" xfId="3087" xr:uid="{00000000-0005-0000-0000-0000120A0000}"/>
    <cellStyle name="Normal 4 2 2 2 6 4" xfId="3088" xr:uid="{00000000-0005-0000-0000-0000130A0000}"/>
    <cellStyle name="Normal 4 2 2 2 6 4 2" xfId="3089" xr:uid="{00000000-0005-0000-0000-0000140A0000}"/>
    <cellStyle name="Normal 4 2 2 2 6 4 3" xfId="3090" xr:uid="{00000000-0005-0000-0000-0000150A0000}"/>
    <cellStyle name="Normal 4 2 2 2 6 5" xfId="3091" xr:uid="{00000000-0005-0000-0000-0000160A0000}"/>
    <cellStyle name="Normal 4 2 2 2 6 6" xfId="3092" xr:uid="{00000000-0005-0000-0000-0000170A0000}"/>
    <cellStyle name="Normal 4 2 2 2 6 7" xfId="3093" xr:uid="{00000000-0005-0000-0000-0000180A0000}"/>
    <cellStyle name="Normal 4 2 2 2 7" xfId="3094" xr:uid="{00000000-0005-0000-0000-0000190A0000}"/>
    <cellStyle name="Normal 4 2 2 2 7 2" xfId="3095" xr:uid="{00000000-0005-0000-0000-00001A0A0000}"/>
    <cellStyle name="Normal 4 2 2 2 7 2 2" xfId="3096" xr:uid="{00000000-0005-0000-0000-00001B0A0000}"/>
    <cellStyle name="Normal 4 2 2 2 7 2 2 2" xfId="3097" xr:uid="{00000000-0005-0000-0000-00001C0A0000}"/>
    <cellStyle name="Normal 4 2 2 2 7 2 2 3" xfId="3098" xr:uid="{00000000-0005-0000-0000-00001D0A0000}"/>
    <cellStyle name="Normal 4 2 2 2 7 2 3" xfId="3099" xr:uid="{00000000-0005-0000-0000-00001E0A0000}"/>
    <cellStyle name="Normal 4 2 2 2 7 2 4" xfId="3100" xr:uid="{00000000-0005-0000-0000-00001F0A0000}"/>
    <cellStyle name="Normal 4 2 2 2 7 2 5" xfId="3101" xr:uid="{00000000-0005-0000-0000-0000200A0000}"/>
    <cellStyle name="Normal 4 2 2 2 7 3" xfId="3102" xr:uid="{00000000-0005-0000-0000-0000210A0000}"/>
    <cellStyle name="Normal 4 2 2 2 7 3 2" xfId="3103" xr:uid="{00000000-0005-0000-0000-0000220A0000}"/>
    <cellStyle name="Normal 4 2 2 2 7 3 2 2" xfId="3104" xr:uid="{00000000-0005-0000-0000-0000230A0000}"/>
    <cellStyle name="Normal 4 2 2 2 7 3 2 3" xfId="3105" xr:uid="{00000000-0005-0000-0000-0000240A0000}"/>
    <cellStyle name="Normal 4 2 2 2 7 3 3" xfId="3106" xr:uid="{00000000-0005-0000-0000-0000250A0000}"/>
    <cellStyle name="Normal 4 2 2 2 7 3 4" xfId="3107" xr:uid="{00000000-0005-0000-0000-0000260A0000}"/>
    <cellStyle name="Normal 4 2 2 2 7 3 5" xfId="3108" xr:uid="{00000000-0005-0000-0000-0000270A0000}"/>
    <cellStyle name="Normal 4 2 2 2 7 4" xfId="3109" xr:uid="{00000000-0005-0000-0000-0000280A0000}"/>
    <cellStyle name="Normal 4 2 2 2 7 4 2" xfId="3110" xr:uid="{00000000-0005-0000-0000-0000290A0000}"/>
    <cellStyle name="Normal 4 2 2 2 7 4 3" xfId="3111" xr:uid="{00000000-0005-0000-0000-00002A0A0000}"/>
    <cellStyle name="Normal 4 2 2 2 7 5" xfId="3112" xr:uid="{00000000-0005-0000-0000-00002B0A0000}"/>
    <cellStyle name="Normal 4 2 2 2 7 6" xfId="3113" xr:uid="{00000000-0005-0000-0000-00002C0A0000}"/>
    <cellStyle name="Normal 4 2 2 2 7 7" xfId="3114" xr:uid="{00000000-0005-0000-0000-00002D0A0000}"/>
    <cellStyle name="Normal 4 2 2 2 8" xfId="3115" xr:uid="{00000000-0005-0000-0000-00002E0A0000}"/>
    <cellStyle name="Normal 4 2 2 2 8 2" xfId="3116" xr:uid="{00000000-0005-0000-0000-00002F0A0000}"/>
    <cellStyle name="Normal 4 2 2 2 8 2 2" xfId="3117" xr:uid="{00000000-0005-0000-0000-0000300A0000}"/>
    <cellStyle name="Normal 4 2 2 2 8 2 3" xfId="3118" xr:uid="{00000000-0005-0000-0000-0000310A0000}"/>
    <cellStyle name="Normal 4 2 2 2 8 3" xfId="3119" xr:uid="{00000000-0005-0000-0000-0000320A0000}"/>
    <cellStyle name="Normal 4 2 2 2 8 4" xfId="3120" xr:uid="{00000000-0005-0000-0000-0000330A0000}"/>
    <cellStyle name="Normal 4 2 2 2 8 5" xfId="3121" xr:uid="{00000000-0005-0000-0000-0000340A0000}"/>
    <cellStyle name="Normal 4 2 2 2 9" xfId="3122" xr:uid="{00000000-0005-0000-0000-0000350A0000}"/>
    <cellStyle name="Normal 4 2 2 2 9 2" xfId="3123" xr:uid="{00000000-0005-0000-0000-0000360A0000}"/>
    <cellStyle name="Normal 4 2 2 2 9 2 2" xfId="3124" xr:uid="{00000000-0005-0000-0000-0000370A0000}"/>
    <cellStyle name="Normal 4 2 2 2 9 2 3" xfId="3125" xr:uid="{00000000-0005-0000-0000-0000380A0000}"/>
    <cellStyle name="Normal 4 2 2 2 9 3" xfId="3126" xr:uid="{00000000-0005-0000-0000-0000390A0000}"/>
    <cellStyle name="Normal 4 2 2 2 9 4" xfId="3127" xr:uid="{00000000-0005-0000-0000-00003A0A0000}"/>
    <cellStyle name="Normal 4 2 2 2 9 5" xfId="3128" xr:uid="{00000000-0005-0000-0000-00003B0A0000}"/>
    <cellStyle name="Normal 4 2 2 3" xfId="3129" xr:uid="{00000000-0005-0000-0000-00003C0A0000}"/>
    <cellStyle name="Normal 4 2 2 3 2" xfId="3130" xr:uid="{00000000-0005-0000-0000-00003D0A0000}"/>
    <cellStyle name="Normal 4 2 2 3 2 2" xfId="3131" xr:uid="{00000000-0005-0000-0000-00003E0A0000}"/>
    <cellStyle name="Normal 4 2 2 3 2 2 2" xfId="3132" xr:uid="{00000000-0005-0000-0000-00003F0A0000}"/>
    <cellStyle name="Normal 4 2 2 3 2 2 2 2" xfId="3133" xr:uid="{00000000-0005-0000-0000-0000400A0000}"/>
    <cellStyle name="Normal 4 2 2 3 2 2 2 2 2" xfId="3134" xr:uid="{00000000-0005-0000-0000-0000410A0000}"/>
    <cellStyle name="Normal 4 2 2 3 2 2 2 2 3" xfId="3135" xr:uid="{00000000-0005-0000-0000-0000420A0000}"/>
    <cellStyle name="Normal 4 2 2 3 2 2 2 3" xfId="3136" xr:uid="{00000000-0005-0000-0000-0000430A0000}"/>
    <cellStyle name="Normal 4 2 2 3 2 2 2 4" xfId="3137" xr:uid="{00000000-0005-0000-0000-0000440A0000}"/>
    <cellStyle name="Normal 4 2 2 3 2 2 2 5" xfId="3138" xr:uid="{00000000-0005-0000-0000-0000450A0000}"/>
    <cellStyle name="Normal 4 2 2 3 2 2 3" xfId="3139" xr:uid="{00000000-0005-0000-0000-0000460A0000}"/>
    <cellStyle name="Normal 4 2 2 3 2 2 3 2" xfId="3140" xr:uid="{00000000-0005-0000-0000-0000470A0000}"/>
    <cellStyle name="Normal 4 2 2 3 2 2 3 2 2" xfId="3141" xr:uid="{00000000-0005-0000-0000-0000480A0000}"/>
    <cellStyle name="Normal 4 2 2 3 2 2 3 2 3" xfId="3142" xr:uid="{00000000-0005-0000-0000-0000490A0000}"/>
    <cellStyle name="Normal 4 2 2 3 2 2 3 3" xfId="3143" xr:uid="{00000000-0005-0000-0000-00004A0A0000}"/>
    <cellStyle name="Normal 4 2 2 3 2 2 3 4" xfId="3144" xr:uid="{00000000-0005-0000-0000-00004B0A0000}"/>
    <cellStyle name="Normal 4 2 2 3 2 2 3 5" xfId="3145" xr:uid="{00000000-0005-0000-0000-00004C0A0000}"/>
    <cellStyle name="Normal 4 2 2 3 2 2 4" xfId="3146" xr:uid="{00000000-0005-0000-0000-00004D0A0000}"/>
    <cellStyle name="Normal 4 2 2 3 2 2 4 2" xfId="3147" xr:uid="{00000000-0005-0000-0000-00004E0A0000}"/>
    <cellStyle name="Normal 4 2 2 3 2 2 4 3" xfId="3148" xr:uid="{00000000-0005-0000-0000-00004F0A0000}"/>
    <cellStyle name="Normal 4 2 2 3 2 2 5" xfId="3149" xr:uid="{00000000-0005-0000-0000-0000500A0000}"/>
    <cellStyle name="Normal 4 2 2 3 2 2 6" xfId="3150" xr:uid="{00000000-0005-0000-0000-0000510A0000}"/>
    <cellStyle name="Normal 4 2 2 3 2 2 7" xfId="3151" xr:uid="{00000000-0005-0000-0000-0000520A0000}"/>
    <cellStyle name="Normal 4 2 2 3 2 3" xfId="3152" xr:uid="{00000000-0005-0000-0000-0000530A0000}"/>
    <cellStyle name="Normal 4 2 2 3 2 3 2" xfId="3153" xr:uid="{00000000-0005-0000-0000-0000540A0000}"/>
    <cellStyle name="Normal 4 2 2 3 2 3 2 2" xfId="3154" xr:uid="{00000000-0005-0000-0000-0000550A0000}"/>
    <cellStyle name="Normal 4 2 2 3 2 3 2 3" xfId="3155" xr:uid="{00000000-0005-0000-0000-0000560A0000}"/>
    <cellStyle name="Normal 4 2 2 3 2 3 3" xfId="3156" xr:uid="{00000000-0005-0000-0000-0000570A0000}"/>
    <cellStyle name="Normal 4 2 2 3 2 3 4" xfId="3157" xr:uid="{00000000-0005-0000-0000-0000580A0000}"/>
    <cellStyle name="Normal 4 2 2 3 2 3 5" xfId="3158" xr:uid="{00000000-0005-0000-0000-0000590A0000}"/>
    <cellStyle name="Normal 4 2 2 3 2 4" xfId="3159" xr:uid="{00000000-0005-0000-0000-00005A0A0000}"/>
    <cellStyle name="Normal 4 2 2 3 2 4 2" xfId="3160" xr:uid="{00000000-0005-0000-0000-00005B0A0000}"/>
    <cellStyle name="Normal 4 2 2 3 2 4 2 2" xfId="3161" xr:uid="{00000000-0005-0000-0000-00005C0A0000}"/>
    <cellStyle name="Normal 4 2 2 3 2 4 2 3" xfId="3162" xr:uid="{00000000-0005-0000-0000-00005D0A0000}"/>
    <cellStyle name="Normal 4 2 2 3 2 4 3" xfId="3163" xr:uid="{00000000-0005-0000-0000-00005E0A0000}"/>
    <cellStyle name="Normal 4 2 2 3 2 4 4" xfId="3164" xr:uid="{00000000-0005-0000-0000-00005F0A0000}"/>
    <cellStyle name="Normal 4 2 2 3 2 4 5" xfId="3165" xr:uid="{00000000-0005-0000-0000-0000600A0000}"/>
    <cellStyle name="Normal 4 2 2 3 2 5" xfId="3166" xr:uid="{00000000-0005-0000-0000-0000610A0000}"/>
    <cellStyle name="Normal 4 2 2 3 2 5 2" xfId="3167" xr:uid="{00000000-0005-0000-0000-0000620A0000}"/>
    <cellStyle name="Normal 4 2 2 3 2 5 3" xfId="3168" xr:uid="{00000000-0005-0000-0000-0000630A0000}"/>
    <cellStyle name="Normal 4 2 2 3 2 6" xfId="3169" xr:uid="{00000000-0005-0000-0000-0000640A0000}"/>
    <cellStyle name="Normal 4 2 2 3 2 7" xfId="3170" xr:uid="{00000000-0005-0000-0000-0000650A0000}"/>
    <cellStyle name="Normal 4 2 2 3 2 8" xfId="3171" xr:uid="{00000000-0005-0000-0000-0000660A0000}"/>
    <cellStyle name="Normal 4 2 2 3 3" xfId="3172" xr:uid="{00000000-0005-0000-0000-0000670A0000}"/>
    <cellStyle name="Normal 4 2 2 3 3 2" xfId="3173" xr:uid="{00000000-0005-0000-0000-0000680A0000}"/>
    <cellStyle name="Normal 4 2 2 3 3 2 2" xfId="3174" xr:uid="{00000000-0005-0000-0000-0000690A0000}"/>
    <cellStyle name="Normal 4 2 2 3 3 2 2 2" xfId="3175" xr:uid="{00000000-0005-0000-0000-00006A0A0000}"/>
    <cellStyle name="Normal 4 2 2 3 3 2 2 3" xfId="3176" xr:uid="{00000000-0005-0000-0000-00006B0A0000}"/>
    <cellStyle name="Normal 4 2 2 3 3 2 3" xfId="3177" xr:uid="{00000000-0005-0000-0000-00006C0A0000}"/>
    <cellStyle name="Normal 4 2 2 3 3 2 4" xfId="3178" xr:uid="{00000000-0005-0000-0000-00006D0A0000}"/>
    <cellStyle name="Normal 4 2 2 3 3 2 5" xfId="3179" xr:uid="{00000000-0005-0000-0000-00006E0A0000}"/>
    <cellStyle name="Normal 4 2 2 3 3 3" xfId="3180" xr:uid="{00000000-0005-0000-0000-00006F0A0000}"/>
    <cellStyle name="Normal 4 2 2 3 3 3 2" xfId="3181" xr:uid="{00000000-0005-0000-0000-0000700A0000}"/>
    <cellStyle name="Normal 4 2 2 3 3 3 2 2" xfId="3182" xr:uid="{00000000-0005-0000-0000-0000710A0000}"/>
    <cellStyle name="Normal 4 2 2 3 3 3 2 3" xfId="3183" xr:uid="{00000000-0005-0000-0000-0000720A0000}"/>
    <cellStyle name="Normal 4 2 2 3 3 3 3" xfId="3184" xr:uid="{00000000-0005-0000-0000-0000730A0000}"/>
    <cellStyle name="Normal 4 2 2 3 3 3 4" xfId="3185" xr:uid="{00000000-0005-0000-0000-0000740A0000}"/>
    <cellStyle name="Normal 4 2 2 3 3 3 5" xfId="3186" xr:uid="{00000000-0005-0000-0000-0000750A0000}"/>
    <cellStyle name="Normal 4 2 2 3 3 4" xfId="3187" xr:uid="{00000000-0005-0000-0000-0000760A0000}"/>
    <cellStyle name="Normal 4 2 2 3 3 4 2" xfId="3188" xr:uid="{00000000-0005-0000-0000-0000770A0000}"/>
    <cellStyle name="Normal 4 2 2 3 3 4 3" xfId="3189" xr:uid="{00000000-0005-0000-0000-0000780A0000}"/>
    <cellStyle name="Normal 4 2 2 3 3 5" xfId="3190" xr:uid="{00000000-0005-0000-0000-0000790A0000}"/>
    <cellStyle name="Normal 4 2 2 3 3 6" xfId="3191" xr:uid="{00000000-0005-0000-0000-00007A0A0000}"/>
    <cellStyle name="Normal 4 2 2 3 3 7" xfId="3192" xr:uid="{00000000-0005-0000-0000-00007B0A0000}"/>
    <cellStyle name="Normal 4 2 2 3 4" xfId="3193" xr:uid="{00000000-0005-0000-0000-00007C0A0000}"/>
    <cellStyle name="Normal 4 2 2 3 4 2" xfId="3194" xr:uid="{00000000-0005-0000-0000-00007D0A0000}"/>
    <cellStyle name="Normal 4 2 2 3 4 2 2" xfId="3195" xr:uid="{00000000-0005-0000-0000-00007E0A0000}"/>
    <cellStyle name="Normal 4 2 2 3 4 2 3" xfId="3196" xr:uid="{00000000-0005-0000-0000-00007F0A0000}"/>
    <cellStyle name="Normal 4 2 2 3 4 3" xfId="3197" xr:uid="{00000000-0005-0000-0000-0000800A0000}"/>
    <cellStyle name="Normal 4 2 2 3 4 4" xfId="3198" xr:uid="{00000000-0005-0000-0000-0000810A0000}"/>
    <cellStyle name="Normal 4 2 2 3 4 5" xfId="3199" xr:uid="{00000000-0005-0000-0000-0000820A0000}"/>
    <cellStyle name="Normal 4 2 2 3 5" xfId="3200" xr:uid="{00000000-0005-0000-0000-0000830A0000}"/>
    <cellStyle name="Normal 4 2 2 3 5 2" xfId="3201" xr:uid="{00000000-0005-0000-0000-0000840A0000}"/>
    <cellStyle name="Normal 4 2 2 3 5 2 2" xfId="3202" xr:uid="{00000000-0005-0000-0000-0000850A0000}"/>
    <cellStyle name="Normal 4 2 2 3 5 2 3" xfId="3203" xr:uid="{00000000-0005-0000-0000-0000860A0000}"/>
    <cellStyle name="Normal 4 2 2 3 5 3" xfId="3204" xr:uid="{00000000-0005-0000-0000-0000870A0000}"/>
    <cellStyle name="Normal 4 2 2 3 5 4" xfId="3205" xr:uid="{00000000-0005-0000-0000-0000880A0000}"/>
    <cellStyle name="Normal 4 2 2 3 5 5" xfId="3206" xr:uid="{00000000-0005-0000-0000-0000890A0000}"/>
    <cellStyle name="Normal 4 2 2 3 6" xfId="3207" xr:uid="{00000000-0005-0000-0000-00008A0A0000}"/>
    <cellStyle name="Normal 4 2 2 3 6 2" xfId="3208" xr:uid="{00000000-0005-0000-0000-00008B0A0000}"/>
    <cellStyle name="Normal 4 2 2 3 6 3" xfId="3209" xr:uid="{00000000-0005-0000-0000-00008C0A0000}"/>
    <cellStyle name="Normal 4 2 2 3 7" xfId="3210" xr:uid="{00000000-0005-0000-0000-00008D0A0000}"/>
    <cellStyle name="Normal 4 2 2 3 8" xfId="3211" xr:uid="{00000000-0005-0000-0000-00008E0A0000}"/>
    <cellStyle name="Normal 4 2 2 3 9" xfId="3212" xr:uid="{00000000-0005-0000-0000-00008F0A0000}"/>
    <cellStyle name="Normal 4 2 2 4" xfId="3213" xr:uid="{00000000-0005-0000-0000-0000900A0000}"/>
    <cellStyle name="Normal 4 2 2 4 2" xfId="3214" xr:uid="{00000000-0005-0000-0000-0000910A0000}"/>
    <cellStyle name="Normal 4 2 2 4 2 2" xfId="3215" xr:uid="{00000000-0005-0000-0000-0000920A0000}"/>
    <cellStyle name="Normal 4 2 2 4 2 2 2" xfId="3216" xr:uid="{00000000-0005-0000-0000-0000930A0000}"/>
    <cellStyle name="Normal 4 2 2 4 2 2 2 2" xfId="3217" xr:uid="{00000000-0005-0000-0000-0000940A0000}"/>
    <cellStyle name="Normal 4 2 2 4 2 2 2 2 2" xfId="3218" xr:uid="{00000000-0005-0000-0000-0000950A0000}"/>
    <cellStyle name="Normal 4 2 2 4 2 2 2 2 3" xfId="3219" xr:uid="{00000000-0005-0000-0000-0000960A0000}"/>
    <cellStyle name="Normal 4 2 2 4 2 2 2 3" xfId="3220" xr:uid="{00000000-0005-0000-0000-0000970A0000}"/>
    <cellStyle name="Normal 4 2 2 4 2 2 2 4" xfId="3221" xr:uid="{00000000-0005-0000-0000-0000980A0000}"/>
    <cellStyle name="Normal 4 2 2 4 2 2 2 5" xfId="3222" xr:uid="{00000000-0005-0000-0000-0000990A0000}"/>
    <cellStyle name="Normal 4 2 2 4 2 2 3" xfId="3223" xr:uid="{00000000-0005-0000-0000-00009A0A0000}"/>
    <cellStyle name="Normal 4 2 2 4 2 2 3 2" xfId="3224" xr:uid="{00000000-0005-0000-0000-00009B0A0000}"/>
    <cellStyle name="Normal 4 2 2 4 2 2 3 2 2" xfId="3225" xr:uid="{00000000-0005-0000-0000-00009C0A0000}"/>
    <cellStyle name="Normal 4 2 2 4 2 2 3 2 3" xfId="3226" xr:uid="{00000000-0005-0000-0000-00009D0A0000}"/>
    <cellStyle name="Normal 4 2 2 4 2 2 3 3" xfId="3227" xr:uid="{00000000-0005-0000-0000-00009E0A0000}"/>
    <cellStyle name="Normal 4 2 2 4 2 2 3 4" xfId="3228" xr:uid="{00000000-0005-0000-0000-00009F0A0000}"/>
    <cellStyle name="Normal 4 2 2 4 2 2 3 5" xfId="3229" xr:uid="{00000000-0005-0000-0000-0000A00A0000}"/>
    <cellStyle name="Normal 4 2 2 4 2 2 4" xfId="3230" xr:uid="{00000000-0005-0000-0000-0000A10A0000}"/>
    <cellStyle name="Normal 4 2 2 4 2 2 4 2" xfId="3231" xr:uid="{00000000-0005-0000-0000-0000A20A0000}"/>
    <cellStyle name="Normal 4 2 2 4 2 2 4 3" xfId="3232" xr:uid="{00000000-0005-0000-0000-0000A30A0000}"/>
    <cellStyle name="Normal 4 2 2 4 2 2 5" xfId="3233" xr:uid="{00000000-0005-0000-0000-0000A40A0000}"/>
    <cellStyle name="Normal 4 2 2 4 2 2 6" xfId="3234" xr:uid="{00000000-0005-0000-0000-0000A50A0000}"/>
    <cellStyle name="Normal 4 2 2 4 2 2 7" xfId="3235" xr:uid="{00000000-0005-0000-0000-0000A60A0000}"/>
    <cellStyle name="Normal 4 2 2 4 2 3" xfId="3236" xr:uid="{00000000-0005-0000-0000-0000A70A0000}"/>
    <cellStyle name="Normal 4 2 2 4 2 3 2" xfId="3237" xr:uid="{00000000-0005-0000-0000-0000A80A0000}"/>
    <cellStyle name="Normal 4 2 2 4 2 3 2 2" xfId="3238" xr:uid="{00000000-0005-0000-0000-0000A90A0000}"/>
    <cellStyle name="Normal 4 2 2 4 2 3 2 3" xfId="3239" xr:uid="{00000000-0005-0000-0000-0000AA0A0000}"/>
    <cellStyle name="Normal 4 2 2 4 2 3 3" xfId="3240" xr:uid="{00000000-0005-0000-0000-0000AB0A0000}"/>
    <cellStyle name="Normal 4 2 2 4 2 3 4" xfId="3241" xr:uid="{00000000-0005-0000-0000-0000AC0A0000}"/>
    <cellStyle name="Normal 4 2 2 4 2 3 5" xfId="3242" xr:uid="{00000000-0005-0000-0000-0000AD0A0000}"/>
    <cellStyle name="Normal 4 2 2 4 2 4" xfId="3243" xr:uid="{00000000-0005-0000-0000-0000AE0A0000}"/>
    <cellStyle name="Normal 4 2 2 4 2 4 2" xfId="3244" xr:uid="{00000000-0005-0000-0000-0000AF0A0000}"/>
    <cellStyle name="Normal 4 2 2 4 2 4 2 2" xfId="3245" xr:uid="{00000000-0005-0000-0000-0000B00A0000}"/>
    <cellStyle name="Normal 4 2 2 4 2 4 2 3" xfId="3246" xr:uid="{00000000-0005-0000-0000-0000B10A0000}"/>
    <cellStyle name="Normal 4 2 2 4 2 4 3" xfId="3247" xr:uid="{00000000-0005-0000-0000-0000B20A0000}"/>
    <cellStyle name="Normal 4 2 2 4 2 4 4" xfId="3248" xr:uid="{00000000-0005-0000-0000-0000B30A0000}"/>
    <cellStyle name="Normal 4 2 2 4 2 4 5" xfId="3249" xr:uid="{00000000-0005-0000-0000-0000B40A0000}"/>
    <cellStyle name="Normal 4 2 2 4 2 5" xfId="3250" xr:uid="{00000000-0005-0000-0000-0000B50A0000}"/>
    <cellStyle name="Normal 4 2 2 4 2 5 2" xfId="3251" xr:uid="{00000000-0005-0000-0000-0000B60A0000}"/>
    <cellStyle name="Normal 4 2 2 4 2 5 3" xfId="3252" xr:uid="{00000000-0005-0000-0000-0000B70A0000}"/>
    <cellStyle name="Normal 4 2 2 4 2 6" xfId="3253" xr:uid="{00000000-0005-0000-0000-0000B80A0000}"/>
    <cellStyle name="Normal 4 2 2 4 2 7" xfId="3254" xr:uid="{00000000-0005-0000-0000-0000B90A0000}"/>
    <cellStyle name="Normal 4 2 2 4 2 8" xfId="3255" xr:uid="{00000000-0005-0000-0000-0000BA0A0000}"/>
    <cellStyle name="Normal 4 2 2 4 3" xfId="3256" xr:uid="{00000000-0005-0000-0000-0000BB0A0000}"/>
    <cellStyle name="Normal 4 2 2 4 3 2" xfId="3257" xr:uid="{00000000-0005-0000-0000-0000BC0A0000}"/>
    <cellStyle name="Normal 4 2 2 4 3 2 2" xfId="3258" xr:uid="{00000000-0005-0000-0000-0000BD0A0000}"/>
    <cellStyle name="Normal 4 2 2 4 3 2 2 2" xfId="3259" xr:uid="{00000000-0005-0000-0000-0000BE0A0000}"/>
    <cellStyle name="Normal 4 2 2 4 3 2 2 3" xfId="3260" xr:uid="{00000000-0005-0000-0000-0000BF0A0000}"/>
    <cellStyle name="Normal 4 2 2 4 3 2 3" xfId="3261" xr:uid="{00000000-0005-0000-0000-0000C00A0000}"/>
    <cellStyle name="Normal 4 2 2 4 3 2 4" xfId="3262" xr:uid="{00000000-0005-0000-0000-0000C10A0000}"/>
    <cellStyle name="Normal 4 2 2 4 3 2 5" xfId="3263" xr:uid="{00000000-0005-0000-0000-0000C20A0000}"/>
    <cellStyle name="Normal 4 2 2 4 3 3" xfId="3264" xr:uid="{00000000-0005-0000-0000-0000C30A0000}"/>
    <cellStyle name="Normal 4 2 2 4 3 3 2" xfId="3265" xr:uid="{00000000-0005-0000-0000-0000C40A0000}"/>
    <cellStyle name="Normal 4 2 2 4 3 3 2 2" xfId="3266" xr:uid="{00000000-0005-0000-0000-0000C50A0000}"/>
    <cellStyle name="Normal 4 2 2 4 3 3 2 3" xfId="3267" xr:uid="{00000000-0005-0000-0000-0000C60A0000}"/>
    <cellStyle name="Normal 4 2 2 4 3 3 3" xfId="3268" xr:uid="{00000000-0005-0000-0000-0000C70A0000}"/>
    <cellStyle name="Normal 4 2 2 4 3 3 4" xfId="3269" xr:uid="{00000000-0005-0000-0000-0000C80A0000}"/>
    <cellStyle name="Normal 4 2 2 4 3 3 5" xfId="3270" xr:uid="{00000000-0005-0000-0000-0000C90A0000}"/>
    <cellStyle name="Normal 4 2 2 4 3 4" xfId="3271" xr:uid="{00000000-0005-0000-0000-0000CA0A0000}"/>
    <cellStyle name="Normal 4 2 2 4 3 4 2" xfId="3272" xr:uid="{00000000-0005-0000-0000-0000CB0A0000}"/>
    <cellStyle name="Normal 4 2 2 4 3 4 3" xfId="3273" xr:uid="{00000000-0005-0000-0000-0000CC0A0000}"/>
    <cellStyle name="Normal 4 2 2 4 3 5" xfId="3274" xr:uid="{00000000-0005-0000-0000-0000CD0A0000}"/>
    <cellStyle name="Normal 4 2 2 4 3 6" xfId="3275" xr:uid="{00000000-0005-0000-0000-0000CE0A0000}"/>
    <cellStyle name="Normal 4 2 2 4 3 7" xfId="3276" xr:uid="{00000000-0005-0000-0000-0000CF0A0000}"/>
    <cellStyle name="Normal 4 2 2 4 4" xfId="3277" xr:uid="{00000000-0005-0000-0000-0000D00A0000}"/>
    <cellStyle name="Normal 4 2 2 4 4 2" xfId="3278" xr:uid="{00000000-0005-0000-0000-0000D10A0000}"/>
    <cellStyle name="Normal 4 2 2 4 4 2 2" xfId="3279" xr:uid="{00000000-0005-0000-0000-0000D20A0000}"/>
    <cellStyle name="Normal 4 2 2 4 4 2 3" xfId="3280" xr:uid="{00000000-0005-0000-0000-0000D30A0000}"/>
    <cellStyle name="Normal 4 2 2 4 4 3" xfId="3281" xr:uid="{00000000-0005-0000-0000-0000D40A0000}"/>
    <cellStyle name="Normal 4 2 2 4 4 4" xfId="3282" xr:uid="{00000000-0005-0000-0000-0000D50A0000}"/>
    <cellStyle name="Normal 4 2 2 4 4 5" xfId="3283" xr:uid="{00000000-0005-0000-0000-0000D60A0000}"/>
    <cellStyle name="Normal 4 2 2 4 5" xfId="3284" xr:uid="{00000000-0005-0000-0000-0000D70A0000}"/>
    <cellStyle name="Normal 4 2 2 4 5 2" xfId="3285" xr:uid="{00000000-0005-0000-0000-0000D80A0000}"/>
    <cellStyle name="Normal 4 2 2 4 5 2 2" xfId="3286" xr:uid="{00000000-0005-0000-0000-0000D90A0000}"/>
    <cellStyle name="Normal 4 2 2 4 5 2 3" xfId="3287" xr:uid="{00000000-0005-0000-0000-0000DA0A0000}"/>
    <cellStyle name="Normal 4 2 2 4 5 3" xfId="3288" xr:uid="{00000000-0005-0000-0000-0000DB0A0000}"/>
    <cellStyle name="Normal 4 2 2 4 5 4" xfId="3289" xr:uid="{00000000-0005-0000-0000-0000DC0A0000}"/>
    <cellStyle name="Normal 4 2 2 4 5 5" xfId="3290" xr:uid="{00000000-0005-0000-0000-0000DD0A0000}"/>
    <cellStyle name="Normal 4 2 2 4 6" xfId="3291" xr:uid="{00000000-0005-0000-0000-0000DE0A0000}"/>
    <cellStyle name="Normal 4 2 2 4 6 2" xfId="3292" xr:uid="{00000000-0005-0000-0000-0000DF0A0000}"/>
    <cellStyle name="Normal 4 2 2 4 6 3" xfId="3293" xr:uid="{00000000-0005-0000-0000-0000E00A0000}"/>
    <cellStyle name="Normal 4 2 2 4 7" xfId="3294" xr:uid="{00000000-0005-0000-0000-0000E10A0000}"/>
    <cellStyle name="Normal 4 2 2 4 8" xfId="3295" xr:uid="{00000000-0005-0000-0000-0000E20A0000}"/>
    <cellStyle name="Normal 4 2 2 4 9" xfId="3296" xr:uid="{00000000-0005-0000-0000-0000E30A0000}"/>
    <cellStyle name="Normal 4 2 2 5" xfId="3297" xr:uid="{00000000-0005-0000-0000-0000E40A0000}"/>
    <cellStyle name="Normal 4 2 2 5 2" xfId="3298" xr:uid="{00000000-0005-0000-0000-0000E50A0000}"/>
    <cellStyle name="Normal 4 2 2 5 2 2" xfId="3299" xr:uid="{00000000-0005-0000-0000-0000E60A0000}"/>
    <cellStyle name="Normal 4 2 2 5 2 2 2" xfId="3300" xr:uid="{00000000-0005-0000-0000-0000E70A0000}"/>
    <cellStyle name="Normal 4 2 2 5 2 2 2 2" xfId="3301" xr:uid="{00000000-0005-0000-0000-0000E80A0000}"/>
    <cellStyle name="Normal 4 2 2 5 2 2 2 2 2" xfId="3302" xr:uid="{00000000-0005-0000-0000-0000E90A0000}"/>
    <cellStyle name="Normal 4 2 2 5 2 2 2 2 3" xfId="3303" xr:uid="{00000000-0005-0000-0000-0000EA0A0000}"/>
    <cellStyle name="Normal 4 2 2 5 2 2 2 3" xfId="3304" xr:uid="{00000000-0005-0000-0000-0000EB0A0000}"/>
    <cellStyle name="Normal 4 2 2 5 2 2 2 4" xfId="3305" xr:uid="{00000000-0005-0000-0000-0000EC0A0000}"/>
    <cellStyle name="Normal 4 2 2 5 2 2 2 5" xfId="3306" xr:uid="{00000000-0005-0000-0000-0000ED0A0000}"/>
    <cellStyle name="Normal 4 2 2 5 2 2 3" xfId="3307" xr:uid="{00000000-0005-0000-0000-0000EE0A0000}"/>
    <cellStyle name="Normal 4 2 2 5 2 2 3 2" xfId="3308" xr:uid="{00000000-0005-0000-0000-0000EF0A0000}"/>
    <cellStyle name="Normal 4 2 2 5 2 2 3 2 2" xfId="3309" xr:uid="{00000000-0005-0000-0000-0000F00A0000}"/>
    <cellStyle name="Normal 4 2 2 5 2 2 3 2 3" xfId="3310" xr:uid="{00000000-0005-0000-0000-0000F10A0000}"/>
    <cellStyle name="Normal 4 2 2 5 2 2 3 3" xfId="3311" xr:uid="{00000000-0005-0000-0000-0000F20A0000}"/>
    <cellStyle name="Normal 4 2 2 5 2 2 3 4" xfId="3312" xr:uid="{00000000-0005-0000-0000-0000F30A0000}"/>
    <cellStyle name="Normal 4 2 2 5 2 2 3 5" xfId="3313" xr:uid="{00000000-0005-0000-0000-0000F40A0000}"/>
    <cellStyle name="Normal 4 2 2 5 2 2 4" xfId="3314" xr:uid="{00000000-0005-0000-0000-0000F50A0000}"/>
    <cellStyle name="Normal 4 2 2 5 2 2 4 2" xfId="3315" xr:uid="{00000000-0005-0000-0000-0000F60A0000}"/>
    <cellStyle name="Normal 4 2 2 5 2 2 4 3" xfId="3316" xr:uid="{00000000-0005-0000-0000-0000F70A0000}"/>
    <cellStyle name="Normal 4 2 2 5 2 2 5" xfId="3317" xr:uid="{00000000-0005-0000-0000-0000F80A0000}"/>
    <cellStyle name="Normal 4 2 2 5 2 2 6" xfId="3318" xr:uid="{00000000-0005-0000-0000-0000F90A0000}"/>
    <cellStyle name="Normal 4 2 2 5 2 2 7" xfId="3319" xr:uid="{00000000-0005-0000-0000-0000FA0A0000}"/>
    <cellStyle name="Normal 4 2 2 5 2 3" xfId="3320" xr:uid="{00000000-0005-0000-0000-0000FB0A0000}"/>
    <cellStyle name="Normal 4 2 2 5 2 3 2" xfId="3321" xr:uid="{00000000-0005-0000-0000-0000FC0A0000}"/>
    <cellStyle name="Normal 4 2 2 5 2 3 2 2" xfId="3322" xr:uid="{00000000-0005-0000-0000-0000FD0A0000}"/>
    <cellStyle name="Normal 4 2 2 5 2 3 2 3" xfId="3323" xr:uid="{00000000-0005-0000-0000-0000FE0A0000}"/>
    <cellStyle name="Normal 4 2 2 5 2 3 3" xfId="3324" xr:uid="{00000000-0005-0000-0000-0000FF0A0000}"/>
    <cellStyle name="Normal 4 2 2 5 2 3 4" xfId="3325" xr:uid="{00000000-0005-0000-0000-0000000B0000}"/>
    <cellStyle name="Normal 4 2 2 5 2 3 5" xfId="3326" xr:uid="{00000000-0005-0000-0000-0000010B0000}"/>
    <cellStyle name="Normal 4 2 2 5 2 4" xfId="3327" xr:uid="{00000000-0005-0000-0000-0000020B0000}"/>
    <cellStyle name="Normal 4 2 2 5 2 4 2" xfId="3328" xr:uid="{00000000-0005-0000-0000-0000030B0000}"/>
    <cellStyle name="Normal 4 2 2 5 2 4 2 2" xfId="3329" xr:uid="{00000000-0005-0000-0000-0000040B0000}"/>
    <cellStyle name="Normal 4 2 2 5 2 4 2 3" xfId="3330" xr:uid="{00000000-0005-0000-0000-0000050B0000}"/>
    <cellStyle name="Normal 4 2 2 5 2 4 3" xfId="3331" xr:uid="{00000000-0005-0000-0000-0000060B0000}"/>
    <cellStyle name="Normal 4 2 2 5 2 4 4" xfId="3332" xr:uid="{00000000-0005-0000-0000-0000070B0000}"/>
    <cellStyle name="Normal 4 2 2 5 2 4 5" xfId="3333" xr:uid="{00000000-0005-0000-0000-0000080B0000}"/>
    <cellStyle name="Normal 4 2 2 5 2 5" xfId="3334" xr:uid="{00000000-0005-0000-0000-0000090B0000}"/>
    <cellStyle name="Normal 4 2 2 5 2 5 2" xfId="3335" xr:uid="{00000000-0005-0000-0000-00000A0B0000}"/>
    <cellStyle name="Normal 4 2 2 5 2 5 3" xfId="3336" xr:uid="{00000000-0005-0000-0000-00000B0B0000}"/>
    <cellStyle name="Normal 4 2 2 5 2 6" xfId="3337" xr:uid="{00000000-0005-0000-0000-00000C0B0000}"/>
    <cellStyle name="Normal 4 2 2 5 2 7" xfId="3338" xr:uid="{00000000-0005-0000-0000-00000D0B0000}"/>
    <cellStyle name="Normal 4 2 2 5 2 8" xfId="3339" xr:uid="{00000000-0005-0000-0000-00000E0B0000}"/>
    <cellStyle name="Normal 4 2 2 5 3" xfId="3340" xr:uid="{00000000-0005-0000-0000-00000F0B0000}"/>
    <cellStyle name="Normal 4 2 2 5 3 2" xfId="3341" xr:uid="{00000000-0005-0000-0000-0000100B0000}"/>
    <cellStyle name="Normal 4 2 2 5 3 2 2" xfId="3342" xr:uid="{00000000-0005-0000-0000-0000110B0000}"/>
    <cellStyle name="Normal 4 2 2 5 3 2 2 2" xfId="3343" xr:uid="{00000000-0005-0000-0000-0000120B0000}"/>
    <cellStyle name="Normal 4 2 2 5 3 2 2 3" xfId="3344" xr:uid="{00000000-0005-0000-0000-0000130B0000}"/>
    <cellStyle name="Normal 4 2 2 5 3 2 3" xfId="3345" xr:uid="{00000000-0005-0000-0000-0000140B0000}"/>
    <cellStyle name="Normal 4 2 2 5 3 2 4" xfId="3346" xr:uid="{00000000-0005-0000-0000-0000150B0000}"/>
    <cellStyle name="Normal 4 2 2 5 3 2 5" xfId="3347" xr:uid="{00000000-0005-0000-0000-0000160B0000}"/>
    <cellStyle name="Normal 4 2 2 5 3 3" xfId="3348" xr:uid="{00000000-0005-0000-0000-0000170B0000}"/>
    <cellStyle name="Normal 4 2 2 5 3 3 2" xfId="3349" xr:uid="{00000000-0005-0000-0000-0000180B0000}"/>
    <cellStyle name="Normal 4 2 2 5 3 3 2 2" xfId="3350" xr:uid="{00000000-0005-0000-0000-0000190B0000}"/>
    <cellStyle name="Normal 4 2 2 5 3 3 2 3" xfId="3351" xr:uid="{00000000-0005-0000-0000-00001A0B0000}"/>
    <cellStyle name="Normal 4 2 2 5 3 3 3" xfId="3352" xr:uid="{00000000-0005-0000-0000-00001B0B0000}"/>
    <cellStyle name="Normal 4 2 2 5 3 3 4" xfId="3353" xr:uid="{00000000-0005-0000-0000-00001C0B0000}"/>
    <cellStyle name="Normal 4 2 2 5 3 3 5" xfId="3354" xr:uid="{00000000-0005-0000-0000-00001D0B0000}"/>
    <cellStyle name="Normal 4 2 2 5 3 4" xfId="3355" xr:uid="{00000000-0005-0000-0000-00001E0B0000}"/>
    <cellStyle name="Normal 4 2 2 5 3 4 2" xfId="3356" xr:uid="{00000000-0005-0000-0000-00001F0B0000}"/>
    <cellStyle name="Normal 4 2 2 5 3 4 3" xfId="3357" xr:uid="{00000000-0005-0000-0000-0000200B0000}"/>
    <cellStyle name="Normal 4 2 2 5 3 5" xfId="3358" xr:uid="{00000000-0005-0000-0000-0000210B0000}"/>
    <cellStyle name="Normal 4 2 2 5 3 6" xfId="3359" xr:uid="{00000000-0005-0000-0000-0000220B0000}"/>
    <cellStyle name="Normal 4 2 2 5 3 7" xfId="3360" xr:uid="{00000000-0005-0000-0000-0000230B0000}"/>
    <cellStyle name="Normal 4 2 2 5 4" xfId="3361" xr:uid="{00000000-0005-0000-0000-0000240B0000}"/>
    <cellStyle name="Normal 4 2 2 5 4 2" xfId="3362" xr:uid="{00000000-0005-0000-0000-0000250B0000}"/>
    <cellStyle name="Normal 4 2 2 5 4 2 2" xfId="3363" xr:uid="{00000000-0005-0000-0000-0000260B0000}"/>
    <cellStyle name="Normal 4 2 2 5 4 2 3" xfId="3364" xr:uid="{00000000-0005-0000-0000-0000270B0000}"/>
    <cellStyle name="Normal 4 2 2 5 4 3" xfId="3365" xr:uid="{00000000-0005-0000-0000-0000280B0000}"/>
    <cellStyle name="Normal 4 2 2 5 4 4" xfId="3366" xr:uid="{00000000-0005-0000-0000-0000290B0000}"/>
    <cellStyle name="Normal 4 2 2 5 4 5" xfId="3367" xr:uid="{00000000-0005-0000-0000-00002A0B0000}"/>
    <cellStyle name="Normal 4 2 2 5 5" xfId="3368" xr:uid="{00000000-0005-0000-0000-00002B0B0000}"/>
    <cellStyle name="Normal 4 2 2 5 5 2" xfId="3369" xr:uid="{00000000-0005-0000-0000-00002C0B0000}"/>
    <cellStyle name="Normal 4 2 2 5 5 2 2" xfId="3370" xr:uid="{00000000-0005-0000-0000-00002D0B0000}"/>
    <cellStyle name="Normal 4 2 2 5 5 2 3" xfId="3371" xr:uid="{00000000-0005-0000-0000-00002E0B0000}"/>
    <cellStyle name="Normal 4 2 2 5 5 3" xfId="3372" xr:uid="{00000000-0005-0000-0000-00002F0B0000}"/>
    <cellStyle name="Normal 4 2 2 5 5 4" xfId="3373" xr:uid="{00000000-0005-0000-0000-0000300B0000}"/>
    <cellStyle name="Normal 4 2 2 5 5 5" xfId="3374" xr:uid="{00000000-0005-0000-0000-0000310B0000}"/>
    <cellStyle name="Normal 4 2 2 5 6" xfId="3375" xr:uid="{00000000-0005-0000-0000-0000320B0000}"/>
    <cellStyle name="Normal 4 2 2 5 6 2" xfId="3376" xr:uid="{00000000-0005-0000-0000-0000330B0000}"/>
    <cellStyle name="Normal 4 2 2 5 6 3" xfId="3377" xr:uid="{00000000-0005-0000-0000-0000340B0000}"/>
    <cellStyle name="Normal 4 2 2 5 7" xfId="3378" xr:uid="{00000000-0005-0000-0000-0000350B0000}"/>
    <cellStyle name="Normal 4 2 2 5 8" xfId="3379" xr:uid="{00000000-0005-0000-0000-0000360B0000}"/>
    <cellStyle name="Normal 4 2 2 5 9" xfId="3380" xr:uid="{00000000-0005-0000-0000-0000370B0000}"/>
    <cellStyle name="Normal 4 2 2 6" xfId="3381" xr:uid="{00000000-0005-0000-0000-0000380B0000}"/>
    <cellStyle name="Normal 4 2 2 6 2" xfId="3382" xr:uid="{00000000-0005-0000-0000-0000390B0000}"/>
    <cellStyle name="Normal 4 2 2 6 2 2" xfId="3383" xr:uid="{00000000-0005-0000-0000-00003A0B0000}"/>
    <cellStyle name="Normal 4 2 2 6 2 2 2" xfId="3384" xr:uid="{00000000-0005-0000-0000-00003B0B0000}"/>
    <cellStyle name="Normal 4 2 2 6 2 2 2 2" xfId="3385" xr:uid="{00000000-0005-0000-0000-00003C0B0000}"/>
    <cellStyle name="Normal 4 2 2 6 2 2 2 3" xfId="3386" xr:uid="{00000000-0005-0000-0000-00003D0B0000}"/>
    <cellStyle name="Normal 4 2 2 6 2 2 3" xfId="3387" xr:uid="{00000000-0005-0000-0000-00003E0B0000}"/>
    <cellStyle name="Normal 4 2 2 6 2 2 4" xfId="3388" xr:uid="{00000000-0005-0000-0000-00003F0B0000}"/>
    <cellStyle name="Normal 4 2 2 6 2 2 5" xfId="3389" xr:uid="{00000000-0005-0000-0000-0000400B0000}"/>
    <cellStyle name="Normal 4 2 2 6 2 3" xfId="3390" xr:uid="{00000000-0005-0000-0000-0000410B0000}"/>
    <cellStyle name="Normal 4 2 2 6 2 3 2" xfId="3391" xr:uid="{00000000-0005-0000-0000-0000420B0000}"/>
    <cellStyle name="Normal 4 2 2 6 2 3 2 2" xfId="3392" xr:uid="{00000000-0005-0000-0000-0000430B0000}"/>
    <cellStyle name="Normal 4 2 2 6 2 3 2 3" xfId="3393" xr:uid="{00000000-0005-0000-0000-0000440B0000}"/>
    <cellStyle name="Normal 4 2 2 6 2 3 3" xfId="3394" xr:uid="{00000000-0005-0000-0000-0000450B0000}"/>
    <cellStyle name="Normal 4 2 2 6 2 3 4" xfId="3395" xr:uid="{00000000-0005-0000-0000-0000460B0000}"/>
    <cellStyle name="Normal 4 2 2 6 2 3 5" xfId="3396" xr:uid="{00000000-0005-0000-0000-0000470B0000}"/>
    <cellStyle name="Normal 4 2 2 6 2 4" xfId="3397" xr:uid="{00000000-0005-0000-0000-0000480B0000}"/>
    <cellStyle name="Normal 4 2 2 6 2 4 2" xfId="3398" xr:uid="{00000000-0005-0000-0000-0000490B0000}"/>
    <cellStyle name="Normal 4 2 2 6 2 4 3" xfId="3399" xr:uid="{00000000-0005-0000-0000-00004A0B0000}"/>
    <cellStyle name="Normal 4 2 2 6 2 5" xfId="3400" xr:uid="{00000000-0005-0000-0000-00004B0B0000}"/>
    <cellStyle name="Normal 4 2 2 6 2 6" xfId="3401" xr:uid="{00000000-0005-0000-0000-00004C0B0000}"/>
    <cellStyle name="Normal 4 2 2 6 2 7" xfId="3402" xr:uid="{00000000-0005-0000-0000-00004D0B0000}"/>
    <cellStyle name="Normal 4 2 2 6 3" xfId="3403" xr:uid="{00000000-0005-0000-0000-00004E0B0000}"/>
    <cellStyle name="Normal 4 2 2 6 3 2" xfId="3404" xr:uid="{00000000-0005-0000-0000-00004F0B0000}"/>
    <cellStyle name="Normal 4 2 2 6 3 2 2" xfId="3405" xr:uid="{00000000-0005-0000-0000-0000500B0000}"/>
    <cellStyle name="Normal 4 2 2 6 3 2 3" xfId="3406" xr:uid="{00000000-0005-0000-0000-0000510B0000}"/>
    <cellStyle name="Normal 4 2 2 6 3 3" xfId="3407" xr:uid="{00000000-0005-0000-0000-0000520B0000}"/>
    <cellStyle name="Normal 4 2 2 6 3 4" xfId="3408" xr:uid="{00000000-0005-0000-0000-0000530B0000}"/>
    <cellStyle name="Normal 4 2 2 6 3 5" xfId="3409" xr:uid="{00000000-0005-0000-0000-0000540B0000}"/>
    <cellStyle name="Normal 4 2 2 6 4" xfId="3410" xr:uid="{00000000-0005-0000-0000-0000550B0000}"/>
    <cellStyle name="Normal 4 2 2 6 4 2" xfId="3411" xr:uid="{00000000-0005-0000-0000-0000560B0000}"/>
    <cellStyle name="Normal 4 2 2 6 4 2 2" xfId="3412" xr:uid="{00000000-0005-0000-0000-0000570B0000}"/>
    <cellStyle name="Normal 4 2 2 6 4 2 3" xfId="3413" xr:uid="{00000000-0005-0000-0000-0000580B0000}"/>
    <cellStyle name="Normal 4 2 2 6 4 3" xfId="3414" xr:uid="{00000000-0005-0000-0000-0000590B0000}"/>
    <cellStyle name="Normal 4 2 2 6 4 4" xfId="3415" xr:uid="{00000000-0005-0000-0000-00005A0B0000}"/>
    <cellStyle name="Normal 4 2 2 6 4 5" xfId="3416" xr:uid="{00000000-0005-0000-0000-00005B0B0000}"/>
    <cellStyle name="Normal 4 2 2 6 5" xfId="3417" xr:uid="{00000000-0005-0000-0000-00005C0B0000}"/>
    <cellStyle name="Normal 4 2 2 6 5 2" xfId="3418" xr:uid="{00000000-0005-0000-0000-00005D0B0000}"/>
    <cellStyle name="Normal 4 2 2 6 5 3" xfId="3419" xr:uid="{00000000-0005-0000-0000-00005E0B0000}"/>
    <cellStyle name="Normal 4 2 2 6 6" xfId="3420" xr:uid="{00000000-0005-0000-0000-00005F0B0000}"/>
    <cellStyle name="Normal 4 2 2 6 7" xfId="3421" xr:uid="{00000000-0005-0000-0000-0000600B0000}"/>
    <cellStyle name="Normal 4 2 2 6 8" xfId="3422" xr:uid="{00000000-0005-0000-0000-0000610B0000}"/>
    <cellStyle name="Normal 4 2 2 7" xfId="3423" xr:uid="{00000000-0005-0000-0000-0000620B0000}"/>
    <cellStyle name="Normal 4 2 2 7 2" xfId="3424" xr:uid="{00000000-0005-0000-0000-0000630B0000}"/>
    <cellStyle name="Normal 4 2 2 7 2 2" xfId="3425" xr:uid="{00000000-0005-0000-0000-0000640B0000}"/>
    <cellStyle name="Normal 4 2 2 7 2 2 2" xfId="3426" xr:uid="{00000000-0005-0000-0000-0000650B0000}"/>
    <cellStyle name="Normal 4 2 2 7 2 2 3" xfId="3427" xr:uid="{00000000-0005-0000-0000-0000660B0000}"/>
    <cellStyle name="Normal 4 2 2 7 2 3" xfId="3428" xr:uid="{00000000-0005-0000-0000-0000670B0000}"/>
    <cellStyle name="Normal 4 2 2 7 2 4" xfId="3429" xr:uid="{00000000-0005-0000-0000-0000680B0000}"/>
    <cellStyle name="Normal 4 2 2 7 2 5" xfId="3430" xr:uid="{00000000-0005-0000-0000-0000690B0000}"/>
    <cellStyle name="Normal 4 2 2 7 3" xfId="3431" xr:uid="{00000000-0005-0000-0000-00006A0B0000}"/>
    <cellStyle name="Normal 4 2 2 7 3 2" xfId="3432" xr:uid="{00000000-0005-0000-0000-00006B0B0000}"/>
    <cellStyle name="Normal 4 2 2 7 3 2 2" xfId="3433" xr:uid="{00000000-0005-0000-0000-00006C0B0000}"/>
    <cellStyle name="Normal 4 2 2 7 3 2 3" xfId="3434" xr:uid="{00000000-0005-0000-0000-00006D0B0000}"/>
    <cellStyle name="Normal 4 2 2 7 3 3" xfId="3435" xr:uid="{00000000-0005-0000-0000-00006E0B0000}"/>
    <cellStyle name="Normal 4 2 2 7 3 4" xfId="3436" xr:uid="{00000000-0005-0000-0000-00006F0B0000}"/>
    <cellStyle name="Normal 4 2 2 7 3 5" xfId="3437" xr:uid="{00000000-0005-0000-0000-0000700B0000}"/>
    <cellStyle name="Normal 4 2 2 7 4" xfId="3438" xr:uid="{00000000-0005-0000-0000-0000710B0000}"/>
    <cellStyle name="Normal 4 2 2 7 4 2" xfId="3439" xr:uid="{00000000-0005-0000-0000-0000720B0000}"/>
    <cellStyle name="Normal 4 2 2 7 4 3" xfId="3440" xr:uid="{00000000-0005-0000-0000-0000730B0000}"/>
    <cellStyle name="Normal 4 2 2 7 5" xfId="3441" xr:uid="{00000000-0005-0000-0000-0000740B0000}"/>
    <cellStyle name="Normal 4 2 2 7 6" xfId="3442" xr:uid="{00000000-0005-0000-0000-0000750B0000}"/>
    <cellStyle name="Normal 4 2 2 7 7" xfId="3443" xr:uid="{00000000-0005-0000-0000-0000760B0000}"/>
    <cellStyle name="Normal 4 2 2 8" xfId="3444" xr:uid="{00000000-0005-0000-0000-0000770B0000}"/>
    <cellStyle name="Normal 4 2 2 8 2" xfId="3445" xr:uid="{00000000-0005-0000-0000-0000780B0000}"/>
    <cellStyle name="Normal 4 2 2 8 2 2" xfId="3446" xr:uid="{00000000-0005-0000-0000-0000790B0000}"/>
    <cellStyle name="Normal 4 2 2 8 2 2 2" xfId="3447" xr:uid="{00000000-0005-0000-0000-00007A0B0000}"/>
    <cellStyle name="Normal 4 2 2 8 2 2 3" xfId="3448" xr:uid="{00000000-0005-0000-0000-00007B0B0000}"/>
    <cellStyle name="Normal 4 2 2 8 2 3" xfId="3449" xr:uid="{00000000-0005-0000-0000-00007C0B0000}"/>
    <cellStyle name="Normal 4 2 2 8 2 4" xfId="3450" xr:uid="{00000000-0005-0000-0000-00007D0B0000}"/>
    <cellStyle name="Normal 4 2 2 8 2 5" xfId="3451" xr:uid="{00000000-0005-0000-0000-00007E0B0000}"/>
    <cellStyle name="Normal 4 2 2 8 3" xfId="3452" xr:uid="{00000000-0005-0000-0000-00007F0B0000}"/>
    <cellStyle name="Normal 4 2 2 8 3 2" xfId="3453" xr:uid="{00000000-0005-0000-0000-0000800B0000}"/>
    <cellStyle name="Normal 4 2 2 8 3 2 2" xfId="3454" xr:uid="{00000000-0005-0000-0000-0000810B0000}"/>
    <cellStyle name="Normal 4 2 2 8 3 2 3" xfId="3455" xr:uid="{00000000-0005-0000-0000-0000820B0000}"/>
    <cellStyle name="Normal 4 2 2 8 3 3" xfId="3456" xr:uid="{00000000-0005-0000-0000-0000830B0000}"/>
    <cellStyle name="Normal 4 2 2 8 3 4" xfId="3457" xr:uid="{00000000-0005-0000-0000-0000840B0000}"/>
    <cellStyle name="Normal 4 2 2 8 3 5" xfId="3458" xr:uid="{00000000-0005-0000-0000-0000850B0000}"/>
    <cellStyle name="Normal 4 2 2 8 4" xfId="3459" xr:uid="{00000000-0005-0000-0000-0000860B0000}"/>
    <cellStyle name="Normal 4 2 2 8 4 2" xfId="3460" xr:uid="{00000000-0005-0000-0000-0000870B0000}"/>
    <cellStyle name="Normal 4 2 2 8 4 3" xfId="3461" xr:uid="{00000000-0005-0000-0000-0000880B0000}"/>
    <cellStyle name="Normal 4 2 2 8 5" xfId="3462" xr:uid="{00000000-0005-0000-0000-0000890B0000}"/>
    <cellStyle name="Normal 4 2 2 8 6" xfId="3463" xr:uid="{00000000-0005-0000-0000-00008A0B0000}"/>
    <cellStyle name="Normal 4 2 2 8 7" xfId="3464" xr:uid="{00000000-0005-0000-0000-00008B0B0000}"/>
    <cellStyle name="Normal 4 2 2 9" xfId="3465" xr:uid="{00000000-0005-0000-0000-00008C0B0000}"/>
    <cellStyle name="Normal 4 2 2 9 2" xfId="3466" xr:uid="{00000000-0005-0000-0000-00008D0B0000}"/>
    <cellStyle name="Normal 4 2 2 9 2 2" xfId="3467" xr:uid="{00000000-0005-0000-0000-00008E0B0000}"/>
    <cellStyle name="Normal 4 2 2 9 2 3" xfId="3468" xr:uid="{00000000-0005-0000-0000-00008F0B0000}"/>
    <cellStyle name="Normal 4 2 2 9 3" xfId="3469" xr:uid="{00000000-0005-0000-0000-0000900B0000}"/>
    <cellStyle name="Normal 4 2 2 9 4" xfId="3470" xr:uid="{00000000-0005-0000-0000-0000910B0000}"/>
    <cellStyle name="Normal 4 2 2 9 5" xfId="3471" xr:uid="{00000000-0005-0000-0000-0000920B0000}"/>
    <cellStyle name="Normal 4 2 3" xfId="3472" xr:uid="{00000000-0005-0000-0000-0000930B0000}"/>
    <cellStyle name="Normal 4 2 3 10" xfId="3473" xr:uid="{00000000-0005-0000-0000-0000940B0000}"/>
    <cellStyle name="Normal 4 2 3 10 2" xfId="3474" xr:uid="{00000000-0005-0000-0000-0000950B0000}"/>
    <cellStyle name="Normal 4 2 3 10 2 2" xfId="3475" xr:uid="{00000000-0005-0000-0000-0000960B0000}"/>
    <cellStyle name="Normal 4 2 3 10 2 3" xfId="3476" xr:uid="{00000000-0005-0000-0000-0000970B0000}"/>
    <cellStyle name="Normal 4 2 3 10 3" xfId="3477" xr:uid="{00000000-0005-0000-0000-0000980B0000}"/>
    <cellStyle name="Normal 4 2 3 10 4" xfId="3478" xr:uid="{00000000-0005-0000-0000-0000990B0000}"/>
    <cellStyle name="Normal 4 2 3 10 5" xfId="3479" xr:uid="{00000000-0005-0000-0000-00009A0B0000}"/>
    <cellStyle name="Normal 4 2 3 11" xfId="3480" xr:uid="{00000000-0005-0000-0000-00009B0B0000}"/>
    <cellStyle name="Normal 4 2 3 11 2" xfId="3481" xr:uid="{00000000-0005-0000-0000-00009C0B0000}"/>
    <cellStyle name="Normal 4 2 3 11 3" xfId="3482" xr:uid="{00000000-0005-0000-0000-00009D0B0000}"/>
    <cellStyle name="Normal 4 2 3 12" xfId="3483" xr:uid="{00000000-0005-0000-0000-00009E0B0000}"/>
    <cellStyle name="Normal 4 2 3 13" xfId="3484" xr:uid="{00000000-0005-0000-0000-00009F0B0000}"/>
    <cellStyle name="Normal 4 2 3 14" xfId="3485" xr:uid="{00000000-0005-0000-0000-0000A00B0000}"/>
    <cellStyle name="Normal 4 2 3 2" xfId="3486" xr:uid="{00000000-0005-0000-0000-0000A10B0000}"/>
    <cellStyle name="Normal 4 2 3 2 10" xfId="3487" xr:uid="{00000000-0005-0000-0000-0000A20B0000}"/>
    <cellStyle name="Normal 4 2 3 2 11" xfId="3488" xr:uid="{00000000-0005-0000-0000-0000A30B0000}"/>
    <cellStyle name="Normal 4 2 3 2 12" xfId="3489" xr:uid="{00000000-0005-0000-0000-0000A40B0000}"/>
    <cellStyle name="Normal 4 2 3 2 2" xfId="3490" xr:uid="{00000000-0005-0000-0000-0000A50B0000}"/>
    <cellStyle name="Normal 4 2 3 2 2 2" xfId="3491" xr:uid="{00000000-0005-0000-0000-0000A60B0000}"/>
    <cellStyle name="Normal 4 2 3 2 2 2 2" xfId="3492" xr:uid="{00000000-0005-0000-0000-0000A70B0000}"/>
    <cellStyle name="Normal 4 2 3 2 2 2 2 2" xfId="3493" xr:uid="{00000000-0005-0000-0000-0000A80B0000}"/>
    <cellStyle name="Normal 4 2 3 2 2 2 2 2 2" xfId="3494" xr:uid="{00000000-0005-0000-0000-0000A90B0000}"/>
    <cellStyle name="Normal 4 2 3 2 2 2 2 2 2 2" xfId="3495" xr:uid="{00000000-0005-0000-0000-0000AA0B0000}"/>
    <cellStyle name="Normal 4 2 3 2 2 2 2 2 2 3" xfId="3496" xr:uid="{00000000-0005-0000-0000-0000AB0B0000}"/>
    <cellStyle name="Normal 4 2 3 2 2 2 2 2 3" xfId="3497" xr:uid="{00000000-0005-0000-0000-0000AC0B0000}"/>
    <cellStyle name="Normal 4 2 3 2 2 2 2 2 4" xfId="3498" xr:uid="{00000000-0005-0000-0000-0000AD0B0000}"/>
    <cellStyle name="Normal 4 2 3 2 2 2 2 2 5" xfId="3499" xr:uid="{00000000-0005-0000-0000-0000AE0B0000}"/>
    <cellStyle name="Normal 4 2 3 2 2 2 2 3" xfId="3500" xr:uid="{00000000-0005-0000-0000-0000AF0B0000}"/>
    <cellStyle name="Normal 4 2 3 2 2 2 2 3 2" xfId="3501" xr:uid="{00000000-0005-0000-0000-0000B00B0000}"/>
    <cellStyle name="Normal 4 2 3 2 2 2 2 3 2 2" xfId="3502" xr:uid="{00000000-0005-0000-0000-0000B10B0000}"/>
    <cellStyle name="Normal 4 2 3 2 2 2 2 3 2 3" xfId="3503" xr:uid="{00000000-0005-0000-0000-0000B20B0000}"/>
    <cellStyle name="Normal 4 2 3 2 2 2 2 3 3" xfId="3504" xr:uid="{00000000-0005-0000-0000-0000B30B0000}"/>
    <cellStyle name="Normal 4 2 3 2 2 2 2 3 4" xfId="3505" xr:uid="{00000000-0005-0000-0000-0000B40B0000}"/>
    <cellStyle name="Normal 4 2 3 2 2 2 2 3 5" xfId="3506" xr:uid="{00000000-0005-0000-0000-0000B50B0000}"/>
    <cellStyle name="Normal 4 2 3 2 2 2 2 4" xfId="3507" xr:uid="{00000000-0005-0000-0000-0000B60B0000}"/>
    <cellStyle name="Normal 4 2 3 2 2 2 2 4 2" xfId="3508" xr:uid="{00000000-0005-0000-0000-0000B70B0000}"/>
    <cellStyle name="Normal 4 2 3 2 2 2 2 4 3" xfId="3509" xr:uid="{00000000-0005-0000-0000-0000B80B0000}"/>
    <cellStyle name="Normal 4 2 3 2 2 2 2 5" xfId="3510" xr:uid="{00000000-0005-0000-0000-0000B90B0000}"/>
    <cellStyle name="Normal 4 2 3 2 2 2 2 6" xfId="3511" xr:uid="{00000000-0005-0000-0000-0000BA0B0000}"/>
    <cellStyle name="Normal 4 2 3 2 2 2 2 7" xfId="3512" xr:uid="{00000000-0005-0000-0000-0000BB0B0000}"/>
    <cellStyle name="Normal 4 2 3 2 2 2 3" xfId="3513" xr:uid="{00000000-0005-0000-0000-0000BC0B0000}"/>
    <cellStyle name="Normal 4 2 3 2 2 2 3 2" xfId="3514" xr:uid="{00000000-0005-0000-0000-0000BD0B0000}"/>
    <cellStyle name="Normal 4 2 3 2 2 2 3 2 2" xfId="3515" xr:uid="{00000000-0005-0000-0000-0000BE0B0000}"/>
    <cellStyle name="Normal 4 2 3 2 2 2 3 2 3" xfId="3516" xr:uid="{00000000-0005-0000-0000-0000BF0B0000}"/>
    <cellStyle name="Normal 4 2 3 2 2 2 3 3" xfId="3517" xr:uid="{00000000-0005-0000-0000-0000C00B0000}"/>
    <cellStyle name="Normal 4 2 3 2 2 2 3 4" xfId="3518" xr:uid="{00000000-0005-0000-0000-0000C10B0000}"/>
    <cellStyle name="Normal 4 2 3 2 2 2 3 5" xfId="3519" xr:uid="{00000000-0005-0000-0000-0000C20B0000}"/>
    <cellStyle name="Normal 4 2 3 2 2 2 4" xfId="3520" xr:uid="{00000000-0005-0000-0000-0000C30B0000}"/>
    <cellStyle name="Normal 4 2 3 2 2 2 4 2" xfId="3521" xr:uid="{00000000-0005-0000-0000-0000C40B0000}"/>
    <cellStyle name="Normal 4 2 3 2 2 2 4 2 2" xfId="3522" xr:uid="{00000000-0005-0000-0000-0000C50B0000}"/>
    <cellStyle name="Normal 4 2 3 2 2 2 4 2 3" xfId="3523" xr:uid="{00000000-0005-0000-0000-0000C60B0000}"/>
    <cellStyle name="Normal 4 2 3 2 2 2 4 3" xfId="3524" xr:uid="{00000000-0005-0000-0000-0000C70B0000}"/>
    <cellStyle name="Normal 4 2 3 2 2 2 4 4" xfId="3525" xr:uid="{00000000-0005-0000-0000-0000C80B0000}"/>
    <cellStyle name="Normal 4 2 3 2 2 2 4 5" xfId="3526" xr:uid="{00000000-0005-0000-0000-0000C90B0000}"/>
    <cellStyle name="Normal 4 2 3 2 2 2 5" xfId="3527" xr:uid="{00000000-0005-0000-0000-0000CA0B0000}"/>
    <cellStyle name="Normal 4 2 3 2 2 2 5 2" xfId="3528" xr:uid="{00000000-0005-0000-0000-0000CB0B0000}"/>
    <cellStyle name="Normal 4 2 3 2 2 2 5 3" xfId="3529" xr:uid="{00000000-0005-0000-0000-0000CC0B0000}"/>
    <cellStyle name="Normal 4 2 3 2 2 2 6" xfId="3530" xr:uid="{00000000-0005-0000-0000-0000CD0B0000}"/>
    <cellStyle name="Normal 4 2 3 2 2 2 7" xfId="3531" xr:uid="{00000000-0005-0000-0000-0000CE0B0000}"/>
    <cellStyle name="Normal 4 2 3 2 2 2 8" xfId="3532" xr:uid="{00000000-0005-0000-0000-0000CF0B0000}"/>
    <cellStyle name="Normal 4 2 3 2 2 3" xfId="3533" xr:uid="{00000000-0005-0000-0000-0000D00B0000}"/>
    <cellStyle name="Normal 4 2 3 2 2 3 2" xfId="3534" xr:uid="{00000000-0005-0000-0000-0000D10B0000}"/>
    <cellStyle name="Normal 4 2 3 2 2 3 2 2" xfId="3535" xr:uid="{00000000-0005-0000-0000-0000D20B0000}"/>
    <cellStyle name="Normal 4 2 3 2 2 3 2 2 2" xfId="3536" xr:uid="{00000000-0005-0000-0000-0000D30B0000}"/>
    <cellStyle name="Normal 4 2 3 2 2 3 2 2 3" xfId="3537" xr:uid="{00000000-0005-0000-0000-0000D40B0000}"/>
    <cellStyle name="Normal 4 2 3 2 2 3 2 3" xfId="3538" xr:uid="{00000000-0005-0000-0000-0000D50B0000}"/>
    <cellStyle name="Normal 4 2 3 2 2 3 2 4" xfId="3539" xr:uid="{00000000-0005-0000-0000-0000D60B0000}"/>
    <cellStyle name="Normal 4 2 3 2 2 3 2 5" xfId="3540" xr:uid="{00000000-0005-0000-0000-0000D70B0000}"/>
    <cellStyle name="Normal 4 2 3 2 2 3 3" xfId="3541" xr:uid="{00000000-0005-0000-0000-0000D80B0000}"/>
    <cellStyle name="Normal 4 2 3 2 2 3 3 2" xfId="3542" xr:uid="{00000000-0005-0000-0000-0000D90B0000}"/>
    <cellStyle name="Normal 4 2 3 2 2 3 3 2 2" xfId="3543" xr:uid="{00000000-0005-0000-0000-0000DA0B0000}"/>
    <cellStyle name="Normal 4 2 3 2 2 3 3 2 3" xfId="3544" xr:uid="{00000000-0005-0000-0000-0000DB0B0000}"/>
    <cellStyle name="Normal 4 2 3 2 2 3 3 3" xfId="3545" xr:uid="{00000000-0005-0000-0000-0000DC0B0000}"/>
    <cellStyle name="Normal 4 2 3 2 2 3 3 4" xfId="3546" xr:uid="{00000000-0005-0000-0000-0000DD0B0000}"/>
    <cellStyle name="Normal 4 2 3 2 2 3 3 5" xfId="3547" xr:uid="{00000000-0005-0000-0000-0000DE0B0000}"/>
    <cellStyle name="Normal 4 2 3 2 2 3 4" xfId="3548" xr:uid="{00000000-0005-0000-0000-0000DF0B0000}"/>
    <cellStyle name="Normal 4 2 3 2 2 3 4 2" xfId="3549" xr:uid="{00000000-0005-0000-0000-0000E00B0000}"/>
    <cellStyle name="Normal 4 2 3 2 2 3 4 3" xfId="3550" xr:uid="{00000000-0005-0000-0000-0000E10B0000}"/>
    <cellStyle name="Normal 4 2 3 2 2 3 5" xfId="3551" xr:uid="{00000000-0005-0000-0000-0000E20B0000}"/>
    <cellStyle name="Normal 4 2 3 2 2 3 6" xfId="3552" xr:uid="{00000000-0005-0000-0000-0000E30B0000}"/>
    <cellStyle name="Normal 4 2 3 2 2 3 7" xfId="3553" xr:uid="{00000000-0005-0000-0000-0000E40B0000}"/>
    <cellStyle name="Normal 4 2 3 2 2 4" xfId="3554" xr:uid="{00000000-0005-0000-0000-0000E50B0000}"/>
    <cellStyle name="Normal 4 2 3 2 2 4 2" xfId="3555" xr:uid="{00000000-0005-0000-0000-0000E60B0000}"/>
    <cellStyle name="Normal 4 2 3 2 2 4 2 2" xfId="3556" xr:uid="{00000000-0005-0000-0000-0000E70B0000}"/>
    <cellStyle name="Normal 4 2 3 2 2 4 2 3" xfId="3557" xr:uid="{00000000-0005-0000-0000-0000E80B0000}"/>
    <cellStyle name="Normal 4 2 3 2 2 4 3" xfId="3558" xr:uid="{00000000-0005-0000-0000-0000E90B0000}"/>
    <cellStyle name="Normal 4 2 3 2 2 4 4" xfId="3559" xr:uid="{00000000-0005-0000-0000-0000EA0B0000}"/>
    <cellStyle name="Normal 4 2 3 2 2 4 5" xfId="3560" xr:uid="{00000000-0005-0000-0000-0000EB0B0000}"/>
    <cellStyle name="Normal 4 2 3 2 2 5" xfId="3561" xr:uid="{00000000-0005-0000-0000-0000EC0B0000}"/>
    <cellStyle name="Normal 4 2 3 2 2 5 2" xfId="3562" xr:uid="{00000000-0005-0000-0000-0000ED0B0000}"/>
    <cellStyle name="Normal 4 2 3 2 2 5 2 2" xfId="3563" xr:uid="{00000000-0005-0000-0000-0000EE0B0000}"/>
    <cellStyle name="Normal 4 2 3 2 2 5 2 3" xfId="3564" xr:uid="{00000000-0005-0000-0000-0000EF0B0000}"/>
    <cellStyle name="Normal 4 2 3 2 2 5 3" xfId="3565" xr:uid="{00000000-0005-0000-0000-0000F00B0000}"/>
    <cellStyle name="Normal 4 2 3 2 2 5 4" xfId="3566" xr:uid="{00000000-0005-0000-0000-0000F10B0000}"/>
    <cellStyle name="Normal 4 2 3 2 2 5 5" xfId="3567" xr:uid="{00000000-0005-0000-0000-0000F20B0000}"/>
    <cellStyle name="Normal 4 2 3 2 2 6" xfId="3568" xr:uid="{00000000-0005-0000-0000-0000F30B0000}"/>
    <cellStyle name="Normal 4 2 3 2 2 6 2" xfId="3569" xr:uid="{00000000-0005-0000-0000-0000F40B0000}"/>
    <cellStyle name="Normal 4 2 3 2 2 6 3" xfId="3570" xr:uid="{00000000-0005-0000-0000-0000F50B0000}"/>
    <cellStyle name="Normal 4 2 3 2 2 7" xfId="3571" xr:uid="{00000000-0005-0000-0000-0000F60B0000}"/>
    <cellStyle name="Normal 4 2 3 2 2 8" xfId="3572" xr:uid="{00000000-0005-0000-0000-0000F70B0000}"/>
    <cellStyle name="Normal 4 2 3 2 2 9" xfId="3573" xr:uid="{00000000-0005-0000-0000-0000F80B0000}"/>
    <cellStyle name="Normal 4 2 3 2 3" xfId="3574" xr:uid="{00000000-0005-0000-0000-0000F90B0000}"/>
    <cellStyle name="Normal 4 2 3 2 3 2" xfId="3575" xr:uid="{00000000-0005-0000-0000-0000FA0B0000}"/>
    <cellStyle name="Normal 4 2 3 2 3 2 2" xfId="3576" xr:uid="{00000000-0005-0000-0000-0000FB0B0000}"/>
    <cellStyle name="Normal 4 2 3 2 3 2 2 2" xfId="3577" xr:uid="{00000000-0005-0000-0000-0000FC0B0000}"/>
    <cellStyle name="Normal 4 2 3 2 3 2 2 2 2" xfId="3578" xr:uid="{00000000-0005-0000-0000-0000FD0B0000}"/>
    <cellStyle name="Normal 4 2 3 2 3 2 2 2 2 2" xfId="3579" xr:uid="{00000000-0005-0000-0000-0000FE0B0000}"/>
    <cellStyle name="Normal 4 2 3 2 3 2 2 2 2 3" xfId="3580" xr:uid="{00000000-0005-0000-0000-0000FF0B0000}"/>
    <cellStyle name="Normal 4 2 3 2 3 2 2 2 3" xfId="3581" xr:uid="{00000000-0005-0000-0000-0000000C0000}"/>
    <cellStyle name="Normal 4 2 3 2 3 2 2 2 4" xfId="3582" xr:uid="{00000000-0005-0000-0000-0000010C0000}"/>
    <cellStyle name="Normal 4 2 3 2 3 2 2 2 5" xfId="3583" xr:uid="{00000000-0005-0000-0000-0000020C0000}"/>
    <cellStyle name="Normal 4 2 3 2 3 2 2 3" xfId="3584" xr:uid="{00000000-0005-0000-0000-0000030C0000}"/>
    <cellStyle name="Normal 4 2 3 2 3 2 2 3 2" xfId="3585" xr:uid="{00000000-0005-0000-0000-0000040C0000}"/>
    <cellStyle name="Normal 4 2 3 2 3 2 2 3 2 2" xfId="3586" xr:uid="{00000000-0005-0000-0000-0000050C0000}"/>
    <cellStyle name="Normal 4 2 3 2 3 2 2 3 2 3" xfId="3587" xr:uid="{00000000-0005-0000-0000-0000060C0000}"/>
    <cellStyle name="Normal 4 2 3 2 3 2 2 3 3" xfId="3588" xr:uid="{00000000-0005-0000-0000-0000070C0000}"/>
    <cellStyle name="Normal 4 2 3 2 3 2 2 3 4" xfId="3589" xr:uid="{00000000-0005-0000-0000-0000080C0000}"/>
    <cellStyle name="Normal 4 2 3 2 3 2 2 3 5" xfId="3590" xr:uid="{00000000-0005-0000-0000-0000090C0000}"/>
    <cellStyle name="Normal 4 2 3 2 3 2 2 4" xfId="3591" xr:uid="{00000000-0005-0000-0000-00000A0C0000}"/>
    <cellStyle name="Normal 4 2 3 2 3 2 2 4 2" xfId="3592" xr:uid="{00000000-0005-0000-0000-00000B0C0000}"/>
    <cellStyle name="Normal 4 2 3 2 3 2 2 4 3" xfId="3593" xr:uid="{00000000-0005-0000-0000-00000C0C0000}"/>
    <cellStyle name="Normal 4 2 3 2 3 2 2 5" xfId="3594" xr:uid="{00000000-0005-0000-0000-00000D0C0000}"/>
    <cellStyle name="Normal 4 2 3 2 3 2 2 6" xfId="3595" xr:uid="{00000000-0005-0000-0000-00000E0C0000}"/>
    <cellStyle name="Normal 4 2 3 2 3 2 2 7" xfId="3596" xr:uid="{00000000-0005-0000-0000-00000F0C0000}"/>
    <cellStyle name="Normal 4 2 3 2 3 2 3" xfId="3597" xr:uid="{00000000-0005-0000-0000-0000100C0000}"/>
    <cellStyle name="Normal 4 2 3 2 3 2 3 2" xfId="3598" xr:uid="{00000000-0005-0000-0000-0000110C0000}"/>
    <cellStyle name="Normal 4 2 3 2 3 2 3 2 2" xfId="3599" xr:uid="{00000000-0005-0000-0000-0000120C0000}"/>
    <cellStyle name="Normal 4 2 3 2 3 2 3 2 3" xfId="3600" xr:uid="{00000000-0005-0000-0000-0000130C0000}"/>
    <cellStyle name="Normal 4 2 3 2 3 2 3 3" xfId="3601" xr:uid="{00000000-0005-0000-0000-0000140C0000}"/>
    <cellStyle name="Normal 4 2 3 2 3 2 3 4" xfId="3602" xr:uid="{00000000-0005-0000-0000-0000150C0000}"/>
    <cellStyle name="Normal 4 2 3 2 3 2 3 5" xfId="3603" xr:uid="{00000000-0005-0000-0000-0000160C0000}"/>
    <cellStyle name="Normal 4 2 3 2 3 2 4" xfId="3604" xr:uid="{00000000-0005-0000-0000-0000170C0000}"/>
    <cellStyle name="Normal 4 2 3 2 3 2 4 2" xfId="3605" xr:uid="{00000000-0005-0000-0000-0000180C0000}"/>
    <cellStyle name="Normal 4 2 3 2 3 2 4 2 2" xfId="3606" xr:uid="{00000000-0005-0000-0000-0000190C0000}"/>
    <cellStyle name="Normal 4 2 3 2 3 2 4 2 3" xfId="3607" xr:uid="{00000000-0005-0000-0000-00001A0C0000}"/>
    <cellStyle name="Normal 4 2 3 2 3 2 4 3" xfId="3608" xr:uid="{00000000-0005-0000-0000-00001B0C0000}"/>
    <cellStyle name="Normal 4 2 3 2 3 2 4 4" xfId="3609" xr:uid="{00000000-0005-0000-0000-00001C0C0000}"/>
    <cellStyle name="Normal 4 2 3 2 3 2 4 5" xfId="3610" xr:uid="{00000000-0005-0000-0000-00001D0C0000}"/>
    <cellStyle name="Normal 4 2 3 2 3 2 5" xfId="3611" xr:uid="{00000000-0005-0000-0000-00001E0C0000}"/>
    <cellStyle name="Normal 4 2 3 2 3 2 5 2" xfId="3612" xr:uid="{00000000-0005-0000-0000-00001F0C0000}"/>
    <cellStyle name="Normal 4 2 3 2 3 2 5 3" xfId="3613" xr:uid="{00000000-0005-0000-0000-0000200C0000}"/>
    <cellStyle name="Normal 4 2 3 2 3 2 6" xfId="3614" xr:uid="{00000000-0005-0000-0000-0000210C0000}"/>
    <cellStyle name="Normal 4 2 3 2 3 2 7" xfId="3615" xr:uid="{00000000-0005-0000-0000-0000220C0000}"/>
    <cellStyle name="Normal 4 2 3 2 3 2 8" xfId="3616" xr:uid="{00000000-0005-0000-0000-0000230C0000}"/>
    <cellStyle name="Normal 4 2 3 2 3 3" xfId="3617" xr:uid="{00000000-0005-0000-0000-0000240C0000}"/>
    <cellStyle name="Normal 4 2 3 2 3 3 2" xfId="3618" xr:uid="{00000000-0005-0000-0000-0000250C0000}"/>
    <cellStyle name="Normal 4 2 3 2 3 3 2 2" xfId="3619" xr:uid="{00000000-0005-0000-0000-0000260C0000}"/>
    <cellStyle name="Normal 4 2 3 2 3 3 2 2 2" xfId="3620" xr:uid="{00000000-0005-0000-0000-0000270C0000}"/>
    <cellStyle name="Normal 4 2 3 2 3 3 2 2 3" xfId="3621" xr:uid="{00000000-0005-0000-0000-0000280C0000}"/>
    <cellStyle name="Normal 4 2 3 2 3 3 2 3" xfId="3622" xr:uid="{00000000-0005-0000-0000-0000290C0000}"/>
    <cellStyle name="Normal 4 2 3 2 3 3 2 4" xfId="3623" xr:uid="{00000000-0005-0000-0000-00002A0C0000}"/>
    <cellStyle name="Normal 4 2 3 2 3 3 2 5" xfId="3624" xr:uid="{00000000-0005-0000-0000-00002B0C0000}"/>
    <cellStyle name="Normal 4 2 3 2 3 3 3" xfId="3625" xr:uid="{00000000-0005-0000-0000-00002C0C0000}"/>
    <cellStyle name="Normal 4 2 3 2 3 3 3 2" xfId="3626" xr:uid="{00000000-0005-0000-0000-00002D0C0000}"/>
    <cellStyle name="Normal 4 2 3 2 3 3 3 2 2" xfId="3627" xr:uid="{00000000-0005-0000-0000-00002E0C0000}"/>
    <cellStyle name="Normal 4 2 3 2 3 3 3 2 3" xfId="3628" xr:uid="{00000000-0005-0000-0000-00002F0C0000}"/>
    <cellStyle name="Normal 4 2 3 2 3 3 3 3" xfId="3629" xr:uid="{00000000-0005-0000-0000-0000300C0000}"/>
    <cellStyle name="Normal 4 2 3 2 3 3 3 4" xfId="3630" xr:uid="{00000000-0005-0000-0000-0000310C0000}"/>
    <cellStyle name="Normal 4 2 3 2 3 3 3 5" xfId="3631" xr:uid="{00000000-0005-0000-0000-0000320C0000}"/>
    <cellStyle name="Normal 4 2 3 2 3 3 4" xfId="3632" xr:uid="{00000000-0005-0000-0000-0000330C0000}"/>
    <cellStyle name="Normal 4 2 3 2 3 3 4 2" xfId="3633" xr:uid="{00000000-0005-0000-0000-0000340C0000}"/>
    <cellStyle name="Normal 4 2 3 2 3 3 4 3" xfId="3634" xr:uid="{00000000-0005-0000-0000-0000350C0000}"/>
    <cellStyle name="Normal 4 2 3 2 3 3 5" xfId="3635" xr:uid="{00000000-0005-0000-0000-0000360C0000}"/>
    <cellStyle name="Normal 4 2 3 2 3 3 6" xfId="3636" xr:uid="{00000000-0005-0000-0000-0000370C0000}"/>
    <cellStyle name="Normal 4 2 3 2 3 3 7" xfId="3637" xr:uid="{00000000-0005-0000-0000-0000380C0000}"/>
    <cellStyle name="Normal 4 2 3 2 3 4" xfId="3638" xr:uid="{00000000-0005-0000-0000-0000390C0000}"/>
    <cellStyle name="Normal 4 2 3 2 3 4 2" xfId="3639" xr:uid="{00000000-0005-0000-0000-00003A0C0000}"/>
    <cellStyle name="Normal 4 2 3 2 3 4 2 2" xfId="3640" xr:uid="{00000000-0005-0000-0000-00003B0C0000}"/>
    <cellStyle name="Normal 4 2 3 2 3 4 2 3" xfId="3641" xr:uid="{00000000-0005-0000-0000-00003C0C0000}"/>
    <cellStyle name="Normal 4 2 3 2 3 4 3" xfId="3642" xr:uid="{00000000-0005-0000-0000-00003D0C0000}"/>
    <cellStyle name="Normal 4 2 3 2 3 4 4" xfId="3643" xr:uid="{00000000-0005-0000-0000-00003E0C0000}"/>
    <cellStyle name="Normal 4 2 3 2 3 4 5" xfId="3644" xr:uid="{00000000-0005-0000-0000-00003F0C0000}"/>
    <cellStyle name="Normal 4 2 3 2 3 5" xfId="3645" xr:uid="{00000000-0005-0000-0000-0000400C0000}"/>
    <cellStyle name="Normal 4 2 3 2 3 5 2" xfId="3646" xr:uid="{00000000-0005-0000-0000-0000410C0000}"/>
    <cellStyle name="Normal 4 2 3 2 3 5 2 2" xfId="3647" xr:uid="{00000000-0005-0000-0000-0000420C0000}"/>
    <cellStyle name="Normal 4 2 3 2 3 5 2 3" xfId="3648" xr:uid="{00000000-0005-0000-0000-0000430C0000}"/>
    <cellStyle name="Normal 4 2 3 2 3 5 3" xfId="3649" xr:uid="{00000000-0005-0000-0000-0000440C0000}"/>
    <cellStyle name="Normal 4 2 3 2 3 5 4" xfId="3650" xr:uid="{00000000-0005-0000-0000-0000450C0000}"/>
    <cellStyle name="Normal 4 2 3 2 3 5 5" xfId="3651" xr:uid="{00000000-0005-0000-0000-0000460C0000}"/>
    <cellStyle name="Normal 4 2 3 2 3 6" xfId="3652" xr:uid="{00000000-0005-0000-0000-0000470C0000}"/>
    <cellStyle name="Normal 4 2 3 2 3 6 2" xfId="3653" xr:uid="{00000000-0005-0000-0000-0000480C0000}"/>
    <cellStyle name="Normal 4 2 3 2 3 6 3" xfId="3654" xr:uid="{00000000-0005-0000-0000-0000490C0000}"/>
    <cellStyle name="Normal 4 2 3 2 3 7" xfId="3655" xr:uid="{00000000-0005-0000-0000-00004A0C0000}"/>
    <cellStyle name="Normal 4 2 3 2 3 8" xfId="3656" xr:uid="{00000000-0005-0000-0000-00004B0C0000}"/>
    <cellStyle name="Normal 4 2 3 2 3 9" xfId="3657" xr:uid="{00000000-0005-0000-0000-00004C0C0000}"/>
    <cellStyle name="Normal 4 2 3 2 4" xfId="3658" xr:uid="{00000000-0005-0000-0000-00004D0C0000}"/>
    <cellStyle name="Normal 4 2 3 2 4 2" xfId="3659" xr:uid="{00000000-0005-0000-0000-00004E0C0000}"/>
    <cellStyle name="Normal 4 2 3 2 4 2 2" xfId="3660" xr:uid="{00000000-0005-0000-0000-00004F0C0000}"/>
    <cellStyle name="Normal 4 2 3 2 4 2 2 2" xfId="3661" xr:uid="{00000000-0005-0000-0000-0000500C0000}"/>
    <cellStyle name="Normal 4 2 3 2 4 2 2 2 2" xfId="3662" xr:uid="{00000000-0005-0000-0000-0000510C0000}"/>
    <cellStyle name="Normal 4 2 3 2 4 2 2 2 2 2" xfId="3663" xr:uid="{00000000-0005-0000-0000-0000520C0000}"/>
    <cellStyle name="Normal 4 2 3 2 4 2 2 2 2 3" xfId="3664" xr:uid="{00000000-0005-0000-0000-0000530C0000}"/>
    <cellStyle name="Normal 4 2 3 2 4 2 2 2 3" xfId="3665" xr:uid="{00000000-0005-0000-0000-0000540C0000}"/>
    <cellStyle name="Normal 4 2 3 2 4 2 2 2 4" xfId="3666" xr:uid="{00000000-0005-0000-0000-0000550C0000}"/>
    <cellStyle name="Normal 4 2 3 2 4 2 2 2 5" xfId="3667" xr:uid="{00000000-0005-0000-0000-0000560C0000}"/>
    <cellStyle name="Normal 4 2 3 2 4 2 2 3" xfId="3668" xr:uid="{00000000-0005-0000-0000-0000570C0000}"/>
    <cellStyle name="Normal 4 2 3 2 4 2 2 3 2" xfId="3669" xr:uid="{00000000-0005-0000-0000-0000580C0000}"/>
    <cellStyle name="Normal 4 2 3 2 4 2 2 3 2 2" xfId="3670" xr:uid="{00000000-0005-0000-0000-0000590C0000}"/>
    <cellStyle name="Normal 4 2 3 2 4 2 2 3 2 3" xfId="3671" xr:uid="{00000000-0005-0000-0000-00005A0C0000}"/>
    <cellStyle name="Normal 4 2 3 2 4 2 2 3 3" xfId="3672" xr:uid="{00000000-0005-0000-0000-00005B0C0000}"/>
    <cellStyle name="Normal 4 2 3 2 4 2 2 3 4" xfId="3673" xr:uid="{00000000-0005-0000-0000-00005C0C0000}"/>
    <cellStyle name="Normal 4 2 3 2 4 2 2 3 5" xfId="3674" xr:uid="{00000000-0005-0000-0000-00005D0C0000}"/>
    <cellStyle name="Normal 4 2 3 2 4 2 2 4" xfId="3675" xr:uid="{00000000-0005-0000-0000-00005E0C0000}"/>
    <cellStyle name="Normal 4 2 3 2 4 2 2 4 2" xfId="3676" xr:uid="{00000000-0005-0000-0000-00005F0C0000}"/>
    <cellStyle name="Normal 4 2 3 2 4 2 2 4 3" xfId="3677" xr:uid="{00000000-0005-0000-0000-0000600C0000}"/>
    <cellStyle name="Normal 4 2 3 2 4 2 2 5" xfId="3678" xr:uid="{00000000-0005-0000-0000-0000610C0000}"/>
    <cellStyle name="Normal 4 2 3 2 4 2 2 6" xfId="3679" xr:uid="{00000000-0005-0000-0000-0000620C0000}"/>
    <cellStyle name="Normal 4 2 3 2 4 2 2 7" xfId="3680" xr:uid="{00000000-0005-0000-0000-0000630C0000}"/>
    <cellStyle name="Normal 4 2 3 2 4 2 3" xfId="3681" xr:uid="{00000000-0005-0000-0000-0000640C0000}"/>
    <cellStyle name="Normal 4 2 3 2 4 2 3 2" xfId="3682" xr:uid="{00000000-0005-0000-0000-0000650C0000}"/>
    <cellStyle name="Normal 4 2 3 2 4 2 3 2 2" xfId="3683" xr:uid="{00000000-0005-0000-0000-0000660C0000}"/>
    <cellStyle name="Normal 4 2 3 2 4 2 3 2 3" xfId="3684" xr:uid="{00000000-0005-0000-0000-0000670C0000}"/>
    <cellStyle name="Normal 4 2 3 2 4 2 3 3" xfId="3685" xr:uid="{00000000-0005-0000-0000-0000680C0000}"/>
    <cellStyle name="Normal 4 2 3 2 4 2 3 4" xfId="3686" xr:uid="{00000000-0005-0000-0000-0000690C0000}"/>
    <cellStyle name="Normal 4 2 3 2 4 2 3 5" xfId="3687" xr:uid="{00000000-0005-0000-0000-00006A0C0000}"/>
    <cellStyle name="Normal 4 2 3 2 4 2 4" xfId="3688" xr:uid="{00000000-0005-0000-0000-00006B0C0000}"/>
    <cellStyle name="Normal 4 2 3 2 4 2 4 2" xfId="3689" xr:uid="{00000000-0005-0000-0000-00006C0C0000}"/>
    <cellStyle name="Normal 4 2 3 2 4 2 4 2 2" xfId="3690" xr:uid="{00000000-0005-0000-0000-00006D0C0000}"/>
    <cellStyle name="Normal 4 2 3 2 4 2 4 2 3" xfId="3691" xr:uid="{00000000-0005-0000-0000-00006E0C0000}"/>
    <cellStyle name="Normal 4 2 3 2 4 2 4 3" xfId="3692" xr:uid="{00000000-0005-0000-0000-00006F0C0000}"/>
    <cellStyle name="Normal 4 2 3 2 4 2 4 4" xfId="3693" xr:uid="{00000000-0005-0000-0000-0000700C0000}"/>
    <cellStyle name="Normal 4 2 3 2 4 2 4 5" xfId="3694" xr:uid="{00000000-0005-0000-0000-0000710C0000}"/>
    <cellStyle name="Normal 4 2 3 2 4 2 5" xfId="3695" xr:uid="{00000000-0005-0000-0000-0000720C0000}"/>
    <cellStyle name="Normal 4 2 3 2 4 2 5 2" xfId="3696" xr:uid="{00000000-0005-0000-0000-0000730C0000}"/>
    <cellStyle name="Normal 4 2 3 2 4 2 5 3" xfId="3697" xr:uid="{00000000-0005-0000-0000-0000740C0000}"/>
    <cellStyle name="Normal 4 2 3 2 4 2 6" xfId="3698" xr:uid="{00000000-0005-0000-0000-0000750C0000}"/>
    <cellStyle name="Normal 4 2 3 2 4 2 7" xfId="3699" xr:uid="{00000000-0005-0000-0000-0000760C0000}"/>
    <cellStyle name="Normal 4 2 3 2 4 2 8" xfId="3700" xr:uid="{00000000-0005-0000-0000-0000770C0000}"/>
    <cellStyle name="Normal 4 2 3 2 4 3" xfId="3701" xr:uid="{00000000-0005-0000-0000-0000780C0000}"/>
    <cellStyle name="Normal 4 2 3 2 4 3 2" xfId="3702" xr:uid="{00000000-0005-0000-0000-0000790C0000}"/>
    <cellStyle name="Normal 4 2 3 2 4 3 2 2" xfId="3703" xr:uid="{00000000-0005-0000-0000-00007A0C0000}"/>
    <cellStyle name="Normal 4 2 3 2 4 3 2 2 2" xfId="3704" xr:uid="{00000000-0005-0000-0000-00007B0C0000}"/>
    <cellStyle name="Normal 4 2 3 2 4 3 2 2 3" xfId="3705" xr:uid="{00000000-0005-0000-0000-00007C0C0000}"/>
    <cellStyle name="Normal 4 2 3 2 4 3 2 3" xfId="3706" xr:uid="{00000000-0005-0000-0000-00007D0C0000}"/>
    <cellStyle name="Normal 4 2 3 2 4 3 2 4" xfId="3707" xr:uid="{00000000-0005-0000-0000-00007E0C0000}"/>
    <cellStyle name="Normal 4 2 3 2 4 3 2 5" xfId="3708" xr:uid="{00000000-0005-0000-0000-00007F0C0000}"/>
    <cellStyle name="Normal 4 2 3 2 4 3 3" xfId="3709" xr:uid="{00000000-0005-0000-0000-0000800C0000}"/>
    <cellStyle name="Normal 4 2 3 2 4 3 3 2" xfId="3710" xr:uid="{00000000-0005-0000-0000-0000810C0000}"/>
    <cellStyle name="Normal 4 2 3 2 4 3 3 2 2" xfId="3711" xr:uid="{00000000-0005-0000-0000-0000820C0000}"/>
    <cellStyle name="Normal 4 2 3 2 4 3 3 2 3" xfId="3712" xr:uid="{00000000-0005-0000-0000-0000830C0000}"/>
    <cellStyle name="Normal 4 2 3 2 4 3 3 3" xfId="3713" xr:uid="{00000000-0005-0000-0000-0000840C0000}"/>
    <cellStyle name="Normal 4 2 3 2 4 3 3 4" xfId="3714" xr:uid="{00000000-0005-0000-0000-0000850C0000}"/>
    <cellStyle name="Normal 4 2 3 2 4 3 3 5" xfId="3715" xr:uid="{00000000-0005-0000-0000-0000860C0000}"/>
    <cellStyle name="Normal 4 2 3 2 4 3 4" xfId="3716" xr:uid="{00000000-0005-0000-0000-0000870C0000}"/>
    <cellStyle name="Normal 4 2 3 2 4 3 4 2" xfId="3717" xr:uid="{00000000-0005-0000-0000-0000880C0000}"/>
    <cellStyle name="Normal 4 2 3 2 4 3 4 3" xfId="3718" xr:uid="{00000000-0005-0000-0000-0000890C0000}"/>
    <cellStyle name="Normal 4 2 3 2 4 3 5" xfId="3719" xr:uid="{00000000-0005-0000-0000-00008A0C0000}"/>
    <cellStyle name="Normal 4 2 3 2 4 3 6" xfId="3720" xr:uid="{00000000-0005-0000-0000-00008B0C0000}"/>
    <cellStyle name="Normal 4 2 3 2 4 3 7" xfId="3721" xr:uid="{00000000-0005-0000-0000-00008C0C0000}"/>
    <cellStyle name="Normal 4 2 3 2 4 4" xfId="3722" xr:uid="{00000000-0005-0000-0000-00008D0C0000}"/>
    <cellStyle name="Normal 4 2 3 2 4 4 2" xfId="3723" xr:uid="{00000000-0005-0000-0000-00008E0C0000}"/>
    <cellStyle name="Normal 4 2 3 2 4 4 2 2" xfId="3724" xr:uid="{00000000-0005-0000-0000-00008F0C0000}"/>
    <cellStyle name="Normal 4 2 3 2 4 4 2 3" xfId="3725" xr:uid="{00000000-0005-0000-0000-0000900C0000}"/>
    <cellStyle name="Normal 4 2 3 2 4 4 3" xfId="3726" xr:uid="{00000000-0005-0000-0000-0000910C0000}"/>
    <cellStyle name="Normal 4 2 3 2 4 4 4" xfId="3727" xr:uid="{00000000-0005-0000-0000-0000920C0000}"/>
    <cellStyle name="Normal 4 2 3 2 4 4 5" xfId="3728" xr:uid="{00000000-0005-0000-0000-0000930C0000}"/>
    <cellStyle name="Normal 4 2 3 2 4 5" xfId="3729" xr:uid="{00000000-0005-0000-0000-0000940C0000}"/>
    <cellStyle name="Normal 4 2 3 2 4 5 2" xfId="3730" xr:uid="{00000000-0005-0000-0000-0000950C0000}"/>
    <cellStyle name="Normal 4 2 3 2 4 5 2 2" xfId="3731" xr:uid="{00000000-0005-0000-0000-0000960C0000}"/>
    <cellStyle name="Normal 4 2 3 2 4 5 2 3" xfId="3732" xr:uid="{00000000-0005-0000-0000-0000970C0000}"/>
    <cellStyle name="Normal 4 2 3 2 4 5 3" xfId="3733" xr:uid="{00000000-0005-0000-0000-0000980C0000}"/>
    <cellStyle name="Normal 4 2 3 2 4 5 4" xfId="3734" xr:uid="{00000000-0005-0000-0000-0000990C0000}"/>
    <cellStyle name="Normal 4 2 3 2 4 5 5" xfId="3735" xr:uid="{00000000-0005-0000-0000-00009A0C0000}"/>
    <cellStyle name="Normal 4 2 3 2 4 6" xfId="3736" xr:uid="{00000000-0005-0000-0000-00009B0C0000}"/>
    <cellStyle name="Normal 4 2 3 2 4 6 2" xfId="3737" xr:uid="{00000000-0005-0000-0000-00009C0C0000}"/>
    <cellStyle name="Normal 4 2 3 2 4 6 3" xfId="3738" xr:uid="{00000000-0005-0000-0000-00009D0C0000}"/>
    <cellStyle name="Normal 4 2 3 2 4 7" xfId="3739" xr:uid="{00000000-0005-0000-0000-00009E0C0000}"/>
    <cellStyle name="Normal 4 2 3 2 4 8" xfId="3740" xr:uid="{00000000-0005-0000-0000-00009F0C0000}"/>
    <cellStyle name="Normal 4 2 3 2 4 9" xfId="3741" xr:uid="{00000000-0005-0000-0000-0000A00C0000}"/>
    <cellStyle name="Normal 4 2 3 2 5" xfId="3742" xr:uid="{00000000-0005-0000-0000-0000A10C0000}"/>
    <cellStyle name="Normal 4 2 3 2 5 2" xfId="3743" xr:uid="{00000000-0005-0000-0000-0000A20C0000}"/>
    <cellStyle name="Normal 4 2 3 2 5 2 2" xfId="3744" xr:uid="{00000000-0005-0000-0000-0000A30C0000}"/>
    <cellStyle name="Normal 4 2 3 2 5 2 2 2" xfId="3745" xr:uid="{00000000-0005-0000-0000-0000A40C0000}"/>
    <cellStyle name="Normal 4 2 3 2 5 2 2 2 2" xfId="3746" xr:uid="{00000000-0005-0000-0000-0000A50C0000}"/>
    <cellStyle name="Normal 4 2 3 2 5 2 2 2 3" xfId="3747" xr:uid="{00000000-0005-0000-0000-0000A60C0000}"/>
    <cellStyle name="Normal 4 2 3 2 5 2 2 3" xfId="3748" xr:uid="{00000000-0005-0000-0000-0000A70C0000}"/>
    <cellStyle name="Normal 4 2 3 2 5 2 2 4" xfId="3749" xr:uid="{00000000-0005-0000-0000-0000A80C0000}"/>
    <cellStyle name="Normal 4 2 3 2 5 2 2 5" xfId="3750" xr:uid="{00000000-0005-0000-0000-0000A90C0000}"/>
    <cellStyle name="Normal 4 2 3 2 5 2 3" xfId="3751" xr:uid="{00000000-0005-0000-0000-0000AA0C0000}"/>
    <cellStyle name="Normal 4 2 3 2 5 2 3 2" xfId="3752" xr:uid="{00000000-0005-0000-0000-0000AB0C0000}"/>
    <cellStyle name="Normal 4 2 3 2 5 2 3 2 2" xfId="3753" xr:uid="{00000000-0005-0000-0000-0000AC0C0000}"/>
    <cellStyle name="Normal 4 2 3 2 5 2 3 2 3" xfId="3754" xr:uid="{00000000-0005-0000-0000-0000AD0C0000}"/>
    <cellStyle name="Normal 4 2 3 2 5 2 3 3" xfId="3755" xr:uid="{00000000-0005-0000-0000-0000AE0C0000}"/>
    <cellStyle name="Normal 4 2 3 2 5 2 3 4" xfId="3756" xr:uid="{00000000-0005-0000-0000-0000AF0C0000}"/>
    <cellStyle name="Normal 4 2 3 2 5 2 3 5" xfId="3757" xr:uid="{00000000-0005-0000-0000-0000B00C0000}"/>
    <cellStyle name="Normal 4 2 3 2 5 2 4" xfId="3758" xr:uid="{00000000-0005-0000-0000-0000B10C0000}"/>
    <cellStyle name="Normal 4 2 3 2 5 2 4 2" xfId="3759" xr:uid="{00000000-0005-0000-0000-0000B20C0000}"/>
    <cellStyle name="Normal 4 2 3 2 5 2 4 3" xfId="3760" xr:uid="{00000000-0005-0000-0000-0000B30C0000}"/>
    <cellStyle name="Normal 4 2 3 2 5 2 5" xfId="3761" xr:uid="{00000000-0005-0000-0000-0000B40C0000}"/>
    <cellStyle name="Normal 4 2 3 2 5 2 6" xfId="3762" xr:uid="{00000000-0005-0000-0000-0000B50C0000}"/>
    <cellStyle name="Normal 4 2 3 2 5 2 7" xfId="3763" xr:uid="{00000000-0005-0000-0000-0000B60C0000}"/>
    <cellStyle name="Normal 4 2 3 2 5 3" xfId="3764" xr:uid="{00000000-0005-0000-0000-0000B70C0000}"/>
    <cellStyle name="Normal 4 2 3 2 5 3 2" xfId="3765" xr:uid="{00000000-0005-0000-0000-0000B80C0000}"/>
    <cellStyle name="Normal 4 2 3 2 5 3 2 2" xfId="3766" xr:uid="{00000000-0005-0000-0000-0000B90C0000}"/>
    <cellStyle name="Normal 4 2 3 2 5 3 2 3" xfId="3767" xr:uid="{00000000-0005-0000-0000-0000BA0C0000}"/>
    <cellStyle name="Normal 4 2 3 2 5 3 3" xfId="3768" xr:uid="{00000000-0005-0000-0000-0000BB0C0000}"/>
    <cellStyle name="Normal 4 2 3 2 5 3 4" xfId="3769" xr:uid="{00000000-0005-0000-0000-0000BC0C0000}"/>
    <cellStyle name="Normal 4 2 3 2 5 3 5" xfId="3770" xr:uid="{00000000-0005-0000-0000-0000BD0C0000}"/>
    <cellStyle name="Normal 4 2 3 2 5 4" xfId="3771" xr:uid="{00000000-0005-0000-0000-0000BE0C0000}"/>
    <cellStyle name="Normal 4 2 3 2 5 4 2" xfId="3772" xr:uid="{00000000-0005-0000-0000-0000BF0C0000}"/>
    <cellStyle name="Normal 4 2 3 2 5 4 2 2" xfId="3773" xr:uid="{00000000-0005-0000-0000-0000C00C0000}"/>
    <cellStyle name="Normal 4 2 3 2 5 4 2 3" xfId="3774" xr:uid="{00000000-0005-0000-0000-0000C10C0000}"/>
    <cellStyle name="Normal 4 2 3 2 5 4 3" xfId="3775" xr:uid="{00000000-0005-0000-0000-0000C20C0000}"/>
    <cellStyle name="Normal 4 2 3 2 5 4 4" xfId="3776" xr:uid="{00000000-0005-0000-0000-0000C30C0000}"/>
    <cellStyle name="Normal 4 2 3 2 5 4 5" xfId="3777" xr:uid="{00000000-0005-0000-0000-0000C40C0000}"/>
    <cellStyle name="Normal 4 2 3 2 5 5" xfId="3778" xr:uid="{00000000-0005-0000-0000-0000C50C0000}"/>
    <cellStyle name="Normal 4 2 3 2 5 5 2" xfId="3779" xr:uid="{00000000-0005-0000-0000-0000C60C0000}"/>
    <cellStyle name="Normal 4 2 3 2 5 5 3" xfId="3780" xr:uid="{00000000-0005-0000-0000-0000C70C0000}"/>
    <cellStyle name="Normal 4 2 3 2 5 6" xfId="3781" xr:uid="{00000000-0005-0000-0000-0000C80C0000}"/>
    <cellStyle name="Normal 4 2 3 2 5 7" xfId="3782" xr:uid="{00000000-0005-0000-0000-0000C90C0000}"/>
    <cellStyle name="Normal 4 2 3 2 5 8" xfId="3783" xr:uid="{00000000-0005-0000-0000-0000CA0C0000}"/>
    <cellStyle name="Normal 4 2 3 2 6" xfId="3784" xr:uid="{00000000-0005-0000-0000-0000CB0C0000}"/>
    <cellStyle name="Normal 4 2 3 2 6 2" xfId="3785" xr:uid="{00000000-0005-0000-0000-0000CC0C0000}"/>
    <cellStyle name="Normal 4 2 3 2 6 2 2" xfId="3786" xr:uid="{00000000-0005-0000-0000-0000CD0C0000}"/>
    <cellStyle name="Normal 4 2 3 2 6 2 2 2" xfId="3787" xr:uid="{00000000-0005-0000-0000-0000CE0C0000}"/>
    <cellStyle name="Normal 4 2 3 2 6 2 2 3" xfId="3788" xr:uid="{00000000-0005-0000-0000-0000CF0C0000}"/>
    <cellStyle name="Normal 4 2 3 2 6 2 3" xfId="3789" xr:uid="{00000000-0005-0000-0000-0000D00C0000}"/>
    <cellStyle name="Normal 4 2 3 2 6 2 4" xfId="3790" xr:uid="{00000000-0005-0000-0000-0000D10C0000}"/>
    <cellStyle name="Normal 4 2 3 2 6 2 5" xfId="3791" xr:uid="{00000000-0005-0000-0000-0000D20C0000}"/>
    <cellStyle name="Normal 4 2 3 2 6 3" xfId="3792" xr:uid="{00000000-0005-0000-0000-0000D30C0000}"/>
    <cellStyle name="Normal 4 2 3 2 6 3 2" xfId="3793" xr:uid="{00000000-0005-0000-0000-0000D40C0000}"/>
    <cellStyle name="Normal 4 2 3 2 6 3 2 2" xfId="3794" xr:uid="{00000000-0005-0000-0000-0000D50C0000}"/>
    <cellStyle name="Normal 4 2 3 2 6 3 2 3" xfId="3795" xr:uid="{00000000-0005-0000-0000-0000D60C0000}"/>
    <cellStyle name="Normal 4 2 3 2 6 3 3" xfId="3796" xr:uid="{00000000-0005-0000-0000-0000D70C0000}"/>
    <cellStyle name="Normal 4 2 3 2 6 3 4" xfId="3797" xr:uid="{00000000-0005-0000-0000-0000D80C0000}"/>
    <cellStyle name="Normal 4 2 3 2 6 3 5" xfId="3798" xr:uid="{00000000-0005-0000-0000-0000D90C0000}"/>
    <cellStyle name="Normal 4 2 3 2 6 4" xfId="3799" xr:uid="{00000000-0005-0000-0000-0000DA0C0000}"/>
    <cellStyle name="Normal 4 2 3 2 6 4 2" xfId="3800" xr:uid="{00000000-0005-0000-0000-0000DB0C0000}"/>
    <cellStyle name="Normal 4 2 3 2 6 4 3" xfId="3801" xr:uid="{00000000-0005-0000-0000-0000DC0C0000}"/>
    <cellStyle name="Normal 4 2 3 2 6 5" xfId="3802" xr:uid="{00000000-0005-0000-0000-0000DD0C0000}"/>
    <cellStyle name="Normal 4 2 3 2 6 6" xfId="3803" xr:uid="{00000000-0005-0000-0000-0000DE0C0000}"/>
    <cellStyle name="Normal 4 2 3 2 6 7" xfId="3804" xr:uid="{00000000-0005-0000-0000-0000DF0C0000}"/>
    <cellStyle name="Normal 4 2 3 2 7" xfId="3805" xr:uid="{00000000-0005-0000-0000-0000E00C0000}"/>
    <cellStyle name="Normal 4 2 3 2 7 2" xfId="3806" xr:uid="{00000000-0005-0000-0000-0000E10C0000}"/>
    <cellStyle name="Normal 4 2 3 2 7 2 2" xfId="3807" xr:uid="{00000000-0005-0000-0000-0000E20C0000}"/>
    <cellStyle name="Normal 4 2 3 2 7 2 3" xfId="3808" xr:uid="{00000000-0005-0000-0000-0000E30C0000}"/>
    <cellStyle name="Normal 4 2 3 2 7 3" xfId="3809" xr:uid="{00000000-0005-0000-0000-0000E40C0000}"/>
    <cellStyle name="Normal 4 2 3 2 7 4" xfId="3810" xr:uid="{00000000-0005-0000-0000-0000E50C0000}"/>
    <cellStyle name="Normal 4 2 3 2 7 5" xfId="3811" xr:uid="{00000000-0005-0000-0000-0000E60C0000}"/>
    <cellStyle name="Normal 4 2 3 2 8" xfId="3812" xr:uid="{00000000-0005-0000-0000-0000E70C0000}"/>
    <cellStyle name="Normal 4 2 3 2 8 2" xfId="3813" xr:uid="{00000000-0005-0000-0000-0000E80C0000}"/>
    <cellStyle name="Normal 4 2 3 2 8 2 2" xfId="3814" xr:uid="{00000000-0005-0000-0000-0000E90C0000}"/>
    <cellStyle name="Normal 4 2 3 2 8 2 3" xfId="3815" xr:uid="{00000000-0005-0000-0000-0000EA0C0000}"/>
    <cellStyle name="Normal 4 2 3 2 8 3" xfId="3816" xr:uid="{00000000-0005-0000-0000-0000EB0C0000}"/>
    <cellStyle name="Normal 4 2 3 2 8 4" xfId="3817" xr:uid="{00000000-0005-0000-0000-0000EC0C0000}"/>
    <cellStyle name="Normal 4 2 3 2 8 5" xfId="3818" xr:uid="{00000000-0005-0000-0000-0000ED0C0000}"/>
    <cellStyle name="Normal 4 2 3 2 9" xfId="3819" xr:uid="{00000000-0005-0000-0000-0000EE0C0000}"/>
    <cellStyle name="Normal 4 2 3 2 9 2" xfId="3820" xr:uid="{00000000-0005-0000-0000-0000EF0C0000}"/>
    <cellStyle name="Normal 4 2 3 2 9 3" xfId="3821" xr:uid="{00000000-0005-0000-0000-0000F00C0000}"/>
    <cellStyle name="Normal 4 2 3 3" xfId="3822" xr:uid="{00000000-0005-0000-0000-0000F10C0000}"/>
    <cellStyle name="Normal 4 2 3 3 2" xfId="3823" xr:uid="{00000000-0005-0000-0000-0000F20C0000}"/>
    <cellStyle name="Normal 4 2 3 3 2 2" xfId="3824" xr:uid="{00000000-0005-0000-0000-0000F30C0000}"/>
    <cellStyle name="Normal 4 2 3 3 2 2 2" xfId="3825" xr:uid="{00000000-0005-0000-0000-0000F40C0000}"/>
    <cellStyle name="Normal 4 2 3 3 2 2 2 2" xfId="3826" xr:uid="{00000000-0005-0000-0000-0000F50C0000}"/>
    <cellStyle name="Normal 4 2 3 3 2 2 2 2 2" xfId="3827" xr:uid="{00000000-0005-0000-0000-0000F60C0000}"/>
    <cellStyle name="Normal 4 2 3 3 2 2 2 2 3" xfId="3828" xr:uid="{00000000-0005-0000-0000-0000F70C0000}"/>
    <cellStyle name="Normal 4 2 3 3 2 2 2 3" xfId="3829" xr:uid="{00000000-0005-0000-0000-0000F80C0000}"/>
    <cellStyle name="Normal 4 2 3 3 2 2 2 4" xfId="3830" xr:uid="{00000000-0005-0000-0000-0000F90C0000}"/>
    <cellStyle name="Normal 4 2 3 3 2 2 2 5" xfId="3831" xr:uid="{00000000-0005-0000-0000-0000FA0C0000}"/>
    <cellStyle name="Normal 4 2 3 3 2 2 3" xfId="3832" xr:uid="{00000000-0005-0000-0000-0000FB0C0000}"/>
    <cellStyle name="Normal 4 2 3 3 2 2 3 2" xfId="3833" xr:uid="{00000000-0005-0000-0000-0000FC0C0000}"/>
    <cellStyle name="Normal 4 2 3 3 2 2 3 2 2" xfId="3834" xr:uid="{00000000-0005-0000-0000-0000FD0C0000}"/>
    <cellStyle name="Normal 4 2 3 3 2 2 3 2 3" xfId="3835" xr:uid="{00000000-0005-0000-0000-0000FE0C0000}"/>
    <cellStyle name="Normal 4 2 3 3 2 2 3 3" xfId="3836" xr:uid="{00000000-0005-0000-0000-0000FF0C0000}"/>
    <cellStyle name="Normal 4 2 3 3 2 2 3 4" xfId="3837" xr:uid="{00000000-0005-0000-0000-0000000D0000}"/>
    <cellStyle name="Normal 4 2 3 3 2 2 3 5" xfId="3838" xr:uid="{00000000-0005-0000-0000-0000010D0000}"/>
    <cellStyle name="Normal 4 2 3 3 2 2 4" xfId="3839" xr:uid="{00000000-0005-0000-0000-0000020D0000}"/>
    <cellStyle name="Normal 4 2 3 3 2 2 4 2" xfId="3840" xr:uid="{00000000-0005-0000-0000-0000030D0000}"/>
    <cellStyle name="Normal 4 2 3 3 2 2 4 3" xfId="3841" xr:uid="{00000000-0005-0000-0000-0000040D0000}"/>
    <cellStyle name="Normal 4 2 3 3 2 2 5" xfId="3842" xr:uid="{00000000-0005-0000-0000-0000050D0000}"/>
    <cellStyle name="Normal 4 2 3 3 2 2 6" xfId="3843" xr:uid="{00000000-0005-0000-0000-0000060D0000}"/>
    <cellStyle name="Normal 4 2 3 3 2 2 7" xfId="3844" xr:uid="{00000000-0005-0000-0000-0000070D0000}"/>
    <cellStyle name="Normal 4 2 3 3 2 3" xfId="3845" xr:uid="{00000000-0005-0000-0000-0000080D0000}"/>
    <cellStyle name="Normal 4 2 3 3 2 3 2" xfId="3846" xr:uid="{00000000-0005-0000-0000-0000090D0000}"/>
    <cellStyle name="Normal 4 2 3 3 2 3 2 2" xfId="3847" xr:uid="{00000000-0005-0000-0000-00000A0D0000}"/>
    <cellStyle name="Normal 4 2 3 3 2 3 2 3" xfId="3848" xr:uid="{00000000-0005-0000-0000-00000B0D0000}"/>
    <cellStyle name="Normal 4 2 3 3 2 3 3" xfId="3849" xr:uid="{00000000-0005-0000-0000-00000C0D0000}"/>
    <cellStyle name="Normal 4 2 3 3 2 3 4" xfId="3850" xr:uid="{00000000-0005-0000-0000-00000D0D0000}"/>
    <cellStyle name="Normal 4 2 3 3 2 3 5" xfId="3851" xr:uid="{00000000-0005-0000-0000-00000E0D0000}"/>
    <cellStyle name="Normal 4 2 3 3 2 4" xfId="3852" xr:uid="{00000000-0005-0000-0000-00000F0D0000}"/>
    <cellStyle name="Normal 4 2 3 3 2 4 2" xfId="3853" xr:uid="{00000000-0005-0000-0000-0000100D0000}"/>
    <cellStyle name="Normal 4 2 3 3 2 4 2 2" xfId="3854" xr:uid="{00000000-0005-0000-0000-0000110D0000}"/>
    <cellStyle name="Normal 4 2 3 3 2 4 2 3" xfId="3855" xr:uid="{00000000-0005-0000-0000-0000120D0000}"/>
    <cellStyle name="Normal 4 2 3 3 2 4 3" xfId="3856" xr:uid="{00000000-0005-0000-0000-0000130D0000}"/>
    <cellStyle name="Normal 4 2 3 3 2 4 4" xfId="3857" xr:uid="{00000000-0005-0000-0000-0000140D0000}"/>
    <cellStyle name="Normal 4 2 3 3 2 4 5" xfId="3858" xr:uid="{00000000-0005-0000-0000-0000150D0000}"/>
    <cellStyle name="Normal 4 2 3 3 2 5" xfId="3859" xr:uid="{00000000-0005-0000-0000-0000160D0000}"/>
    <cellStyle name="Normal 4 2 3 3 2 5 2" xfId="3860" xr:uid="{00000000-0005-0000-0000-0000170D0000}"/>
    <cellStyle name="Normal 4 2 3 3 2 5 3" xfId="3861" xr:uid="{00000000-0005-0000-0000-0000180D0000}"/>
    <cellStyle name="Normal 4 2 3 3 2 6" xfId="3862" xr:uid="{00000000-0005-0000-0000-0000190D0000}"/>
    <cellStyle name="Normal 4 2 3 3 2 7" xfId="3863" xr:uid="{00000000-0005-0000-0000-00001A0D0000}"/>
    <cellStyle name="Normal 4 2 3 3 2 8" xfId="3864" xr:uid="{00000000-0005-0000-0000-00001B0D0000}"/>
    <cellStyle name="Normal 4 2 3 3 3" xfId="3865" xr:uid="{00000000-0005-0000-0000-00001C0D0000}"/>
    <cellStyle name="Normal 4 2 3 3 3 2" xfId="3866" xr:uid="{00000000-0005-0000-0000-00001D0D0000}"/>
    <cellStyle name="Normal 4 2 3 3 3 2 2" xfId="3867" xr:uid="{00000000-0005-0000-0000-00001E0D0000}"/>
    <cellStyle name="Normal 4 2 3 3 3 2 2 2" xfId="3868" xr:uid="{00000000-0005-0000-0000-00001F0D0000}"/>
    <cellStyle name="Normal 4 2 3 3 3 2 2 3" xfId="3869" xr:uid="{00000000-0005-0000-0000-0000200D0000}"/>
    <cellStyle name="Normal 4 2 3 3 3 2 3" xfId="3870" xr:uid="{00000000-0005-0000-0000-0000210D0000}"/>
    <cellStyle name="Normal 4 2 3 3 3 2 4" xfId="3871" xr:uid="{00000000-0005-0000-0000-0000220D0000}"/>
    <cellStyle name="Normal 4 2 3 3 3 2 5" xfId="3872" xr:uid="{00000000-0005-0000-0000-0000230D0000}"/>
    <cellStyle name="Normal 4 2 3 3 3 3" xfId="3873" xr:uid="{00000000-0005-0000-0000-0000240D0000}"/>
    <cellStyle name="Normal 4 2 3 3 3 3 2" xfId="3874" xr:uid="{00000000-0005-0000-0000-0000250D0000}"/>
    <cellStyle name="Normal 4 2 3 3 3 3 2 2" xfId="3875" xr:uid="{00000000-0005-0000-0000-0000260D0000}"/>
    <cellStyle name="Normal 4 2 3 3 3 3 2 3" xfId="3876" xr:uid="{00000000-0005-0000-0000-0000270D0000}"/>
    <cellStyle name="Normal 4 2 3 3 3 3 3" xfId="3877" xr:uid="{00000000-0005-0000-0000-0000280D0000}"/>
    <cellStyle name="Normal 4 2 3 3 3 3 4" xfId="3878" xr:uid="{00000000-0005-0000-0000-0000290D0000}"/>
    <cellStyle name="Normal 4 2 3 3 3 3 5" xfId="3879" xr:uid="{00000000-0005-0000-0000-00002A0D0000}"/>
    <cellStyle name="Normal 4 2 3 3 3 4" xfId="3880" xr:uid="{00000000-0005-0000-0000-00002B0D0000}"/>
    <cellStyle name="Normal 4 2 3 3 3 4 2" xfId="3881" xr:uid="{00000000-0005-0000-0000-00002C0D0000}"/>
    <cellStyle name="Normal 4 2 3 3 3 4 3" xfId="3882" xr:uid="{00000000-0005-0000-0000-00002D0D0000}"/>
    <cellStyle name="Normal 4 2 3 3 3 5" xfId="3883" xr:uid="{00000000-0005-0000-0000-00002E0D0000}"/>
    <cellStyle name="Normal 4 2 3 3 3 6" xfId="3884" xr:uid="{00000000-0005-0000-0000-00002F0D0000}"/>
    <cellStyle name="Normal 4 2 3 3 3 7" xfId="3885" xr:uid="{00000000-0005-0000-0000-0000300D0000}"/>
    <cellStyle name="Normal 4 2 3 3 4" xfId="3886" xr:uid="{00000000-0005-0000-0000-0000310D0000}"/>
    <cellStyle name="Normal 4 2 3 3 4 2" xfId="3887" xr:uid="{00000000-0005-0000-0000-0000320D0000}"/>
    <cellStyle name="Normal 4 2 3 3 4 2 2" xfId="3888" xr:uid="{00000000-0005-0000-0000-0000330D0000}"/>
    <cellStyle name="Normal 4 2 3 3 4 2 3" xfId="3889" xr:uid="{00000000-0005-0000-0000-0000340D0000}"/>
    <cellStyle name="Normal 4 2 3 3 4 3" xfId="3890" xr:uid="{00000000-0005-0000-0000-0000350D0000}"/>
    <cellStyle name="Normal 4 2 3 3 4 4" xfId="3891" xr:uid="{00000000-0005-0000-0000-0000360D0000}"/>
    <cellStyle name="Normal 4 2 3 3 4 5" xfId="3892" xr:uid="{00000000-0005-0000-0000-0000370D0000}"/>
    <cellStyle name="Normal 4 2 3 3 5" xfId="3893" xr:uid="{00000000-0005-0000-0000-0000380D0000}"/>
    <cellStyle name="Normal 4 2 3 3 5 2" xfId="3894" xr:uid="{00000000-0005-0000-0000-0000390D0000}"/>
    <cellStyle name="Normal 4 2 3 3 5 2 2" xfId="3895" xr:uid="{00000000-0005-0000-0000-00003A0D0000}"/>
    <cellStyle name="Normal 4 2 3 3 5 2 3" xfId="3896" xr:uid="{00000000-0005-0000-0000-00003B0D0000}"/>
    <cellStyle name="Normal 4 2 3 3 5 3" xfId="3897" xr:uid="{00000000-0005-0000-0000-00003C0D0000}"/>
    <cellStyle name="Normal 4 2 3 3 5 4" xfId="3898" xr:uid="{00000000-0005-0000-0000-00003D0D0000}"/>
    <cellStyle name="Normal 4 2 3 3 5 5" xfId="3899" xr:uid="{00000000-0005-0000-0000-00003E0D0000}"/>
    <cellStyle name="Normal 4 2 3 3 6" xfId="3900" xr:uid="{00000000-0005-0000-0000-00003F0D0000}"/>
    <cellStyle name="Normal 4 2 3 3 6 2" xfId="3901" xr:uid="{00000000-0005-0000-0000-0000400D0000}"/>
    <cellStyle name="Normal 4 2 3 3 6 3" xfId="3902" xr:uid="{00000000-0005-0000-0000-0000410D0000}"/>
    <cellStyle name="Normal 4 2 3 3 7" xfId="3903" xr:uid="{00000000-0005-0000-0000-0000420D0000}"/>
    <cellStyle name="Normal 4 2 3 3 8" xfId="3904" xr:uid="{00000000-0005-0000-0000-0000430D0000}"/>
    <cellStyle name="Normal 4 2 3 3 9" xfId="3905" xr:uid="{00000000-0005-0000-0000-0000440D0000}"/>
    <cellStyle name="Normal 4 2 3 4" xfId="3906" xr:uid="{00000000-0005-0000-0000-0000450D0000}"/>
    <cellStyle name="Normal 4 2 3 4 2" xfId="3907" xr:uid="{00000000-0005-0000-0000-0000460D0000}"/>
    <cellStyle name="Normal 4 2 3 4 2 2" xfId="3908" xr:uid="{00000000-0005-0000-0000-0000470D0000}"/>
    <cellStyle name="Normal 4 2 3 4 2 2 2" xfId="3909" xr:uid="{00000000-0005-0000-0000-0000480D0000}"/>
    <cellStyle name="Normal 4 2 3 4 2 2 2 2" xfId="3910" xr:uid="{00000000-0005-0000-0000-0000490D0000}"/>
    <cellStyle name="Normal 4 2 3 4 2 2 2 2 2" xfId="3911" xr:uid="{00000000-0005-0000-0000-00004A0D0000}"/>
    <cellStyle name="Normal 4 2 3 4 2 2 2 2 3" xfId="3912" xr:uid="{00000000-0005-0000-0000-00004B0D0000}"/>
    <cellStyle name="Normal 4 2 3 4 2 2 2 3" xfId="3913" xr:uid="{00000000-0005-0000-0000-00004C0D0000}"/>
    <cellStyle name="Normal 4 2 3 4 2 2 2 4" xfId="3914" xr:uid="{00000000-0005-0000-0000-00004D0D0000}"/>
    <cellStyle name="Normal 4 2 3 4 2 2 2 5" xfId="3915" xr:uid="{00000000-0005-0000-0000-00004E0D0000}"/>
    <cellStyle name="Normal 4 2 3 4 2 2 3" xfId="3916" xr:uid="{00000000-0005-0000-0000-00004F0D0000}"/>
    <cellStyle name="Normal 4 2 3 4 2 2 3 2" xfId="3917" xr:uid="{00000000-0005-0000-0000-0000500D0000}"/>
    <cellStyle name="Normal 4 2 3 4 2 2 3 2 2" xfId="3918" xr:uid="{00000000-0005-0000-0000-0000510D0000}"/>
    <cellStyle name="Normal 4 2 3 4 2 2 3 2 3" xfId="3919" xr:uid="{00000000-0005-0000-0000-0000520D0000}"/>
    <cellStyle name="Normal 4 2 3 4 2 2 3 3" xfId="3920" xr:uid="{00000000-0005-0000-0000-0000530D0000}"/>
    <cellStyle name="Normal 4 2 3 4 2 2 3 4" xfId="3921" xr:uid="{00000000-0005-0000-0000-0000540D0000}"/>
    <cellStyle name="Normal 4 2 3 4 2 2 3 5" xfId="3922" xr:uid="{00000000-0005-0000-0000-0000550D0000}"/>
    <cellStyle name="Normal 4 2 3 4 2 2 4" xfId="3923" xr:uid="{00000000-0005-0000-0000-0000560D0000}"/>
    <cellStyle name="Normal 4 2 3 4 2 2 4 2" xfId="3924" xr:uid="{00000000-0005-0000-0000-0000570D0000}"/>
    <cellStyle name="Normal 4 2 3 4 2 2 4 3" xfId="3925" xr:uid="{00000000-0005-0000-0000-0000580D0000}"/>
    <cellStyle name="Normal 4 2 3 4 2 2 5" xfId="3926" xr:uid="{00000000-0005-0000-0000-0000590D0000}"/>
    <cellStyle name="Normal 4 2 3 4 2 2 6" xfId="3927" xr:uid="{00000000-0005-0000-0000-00005A0D0000}"/>
    <cellStyle name="Normal 4 2 3 4 2 2 7" xfId="3928" xr:uid="{00000000-0005-0000-0000-00005B0D0000}"/>
    <cellStyle name="Normal 4 2 3 4 2 3" xfId="3929" xr:uid="{00000000-0005-0000-0000-00005C0D0000}"/>
    <cellStyle name="Normal 4 2 3 4 2 3 2" xfId="3930" xr:uid="{00000000-0005-0000-0000-00005D0D0000}"/>
    <cellStyle name="Normal 4 2 3 4 2 3 2 2" xfId="3931" xr:uid="{00000000-0005-0000-0000-00005E0D0000}"/>
    <cellStyle name="Normal 4 2 3 4 2 3 2 3" xfId="3932" xr:uid="{00000000-0005-0000-0000-00005F0D0000}"/>
    <cellStyle name="Normal 4 2 3 4 2 3 3" xfId="3933" xr:uid="{00000000-0005-0000-0000-0000600D0000}"/>
    <cellStyle name="Normal 4 2 3 4 2 3 4" xfId="3934" xr:uid="{00000000-0005-0000-0000-0000610D0000}"/>
    <cellStyle name="Normal 4 2 3 4 2 3 5" xfId="3935" xr:uid="{00000000-0005-0000-0000-0000620D0000}"/>
    <cellStyle name="Normal 4 2 3 4 2 4" xfId="3936" xr:uid="{00000000-0005-0000-0000-0000630D0000}"/>
    <cellStyle name="Normal 4 2 3 4 2 4 2" xfId="3937" xr:uid="{00000000-0005-0000-0000-0000640D0000}"/>
    <cellStyle name="Normal 4 2 3 4 2 4 2 2" xfId="3938" xr:uid="{00000000-0005-0000-0000-0000650D0000}"/>
    <cellStyle name="Normal 4 2 3 4 2 4 2 3" xfId="3939" xr:uid="{00000000-0005-0000-0000-0000660D0000}"/>
    <cellStyle name="Normal 4 2 3 4 2 4 3" xfId="3940" xr:uid="{00000000-0005-0000-0000-0000670D0000}"/>
    <cellStyle name="Normal 4 2 3 4 2 4 4" xfId="3941" xr:uid="{00000000-0005-0000-0000-0000680D0000}"/>
    <cellStyle name="Normal 4 2 3 4 2 4 5" xfId="3942" xr:uid="{00000000-0005-0000-0000-0000690D0000}"/>
    <cellStyle name="Normal 4 2 3 4 2 5" xfId="3943" xr:uid="{00000000-0005-0000-0000-00006A0D0000}"/>
    <cellStyle name="Normal 4 2 3 4 2 5 2" xfId="3944" xr:uid="{00000000-0005-0000-0000-00006B0D0000}"/>
    <cellStyle name="Normal 4 2 3 4 2 5 3" xfId="3945" xr:uid="{00000000-0005-0000-0000-00006C0D0000}"/>
    <cellStyle name="Normal 4 2 3 4 2 6" xfId="3946" xr:uid="{00000000-0005-0000-0000-00006D0D0000}"/>
    <cellStyle name="Normal 4 2 3 4 2 7" xfId="3947" xr:uid="{00000000-0005-0000-0000-00006E0D0000}"/>
    <cellStyle name="Normal 4 2 3 4 2 8" xfId="3948" xr:uid="{00000000-0005-0000-0000-00006F0D0000}"/>
    <cellStyle name="Normal 4 2 3 4 3" xfId="3949" xr:uid="{00000000-0005-0000-0000-0000700D0000}"/>
    <cellStyle name="Normal 4 2 3 4 3 2" xfId="3950" xr:uid="{00000000-0005-0000-0000-0000710D0000}"/>
    <cellStyle name="Normal 4 2 3 4 3 2 2" xfId="3951" xr:uid="{00000000-0005-0000-0000-0000720D0000}"/>
    <cellStyle name="Normal 4 2 3 4 3 2 2 2" xfId="3952" xr:uid="{00000000-0005-0000-0000-0000730D0000}"/>
    <cellStyle name="Normal 4 2 3 4 3 2 2 3" xfId="3953" xr:uid="{00000000-0005-0000-0000-0000740D0000}"/>
    <cellStyle name="Normal 4 2 3 4 3 2 3" xfId="3954" xr:uid="{00000000-0005-0000-0000-0000750D0000}"/>
    <cellStyle name="Normal 4 2 3 4 3 2 4" xfId="3955" xr:uid="{00000000-0005-0000-0000-0000760D0000}"/>
    <cellStyle name="Normal 4 2 3 4 3 2 5" xfId="3956" xr:uid="{00000000-0005-0000-0000-0000770D0000}"/>
    <cellStyle name="Normal 4 2 3 4 3 3" xfId="3957" xr:uid="{00000000-0005-0000-0000-0000780D0000}"/>
    <cellStyle name="Normal 4 2 3 4 3 3 2" xfId="3958" xr:uid="{00000000-0005-0000-0000-0000790D0000}"/>
    <cellStyle name="Normal 4 2 3 4 3 3 2 2" xfId="3959" xr:uid="{00000000-0005-0000-0000-00007A0D0000}"/>
    <cellStyle name="Normal 4 2 3 4 3 3 2 3" xfId="3960" xr:uid="{00000000-0005-0000-0000-00007B0D0000}"/>
    <cellStyle name="Normal 4 2 3 4 3 3 3" xfId="3961" xr:uid="{00000000-0005-0000-0000-00007C0D0000}"/>
    <cellStyle name="Normal 4 2 3 4 3 3 4" xfId="3962" xr:uid="{00000000-0005-0000-0000-00007D0D0000}"/>
    <cellStyle name="Normal 4 2 3 4 3 3 5" xfId="3963" xr:uid="{00000000-0005-0000-0000-00007E0D0000}"/>
    <cellStyle name="Normal 4 2 3 4 3 4" xfId="3964" xr:uid="{00000000-0005-0000-0000-00007F0D0000}"/>
    <cellStyle name="Normal 4 2 3 4 3 4 2" xfId="3965" xr:uid="{00000000-0005-0000-0000-0000800D0000}"/>
    <cellStyle name="Normal 4 2 3 4 3 4 3" xfId="3966" xr:uid="{00000000-0005-0000-0000-0000810D0000}"/>
    <cellStyle name="Normal 4 2 3 4 3 5" xfId="3967" xr:uid="{00000000-0005-0000-0000-0000820D0000}"/>
    <cellStyle name="Normal 4 2 3 4 3 6" xfId="3968" xr:uid="{00000000-0005-0000-0000-0000830D0000}"/>
    <cellStyle name="Normal 4 2 3 4 3 7" xfId="3969" xr:uid="{00000000-0005-0000-0000-0000840D0000}"/>
    <cellStyle name="Normal 4 2 3 4 4" xfId="3970" xr:uid="{00000000-0005-0000-0000-0000850D0000}"/>
    <cellStyle name="Normal 4 2 3 4 4 2" xfId="3971" xr:uid="{00000000-0005-0000-0000-0000860D0000}"/>
    <cellStyle name="Normal 4 2 3 4 4 2 2" xfId="3972" xr:uid="{00000000-0005-0000-0000-0000870D0000}"/>
    <cellStyle name="Normal 4 2 3 4 4 2 3" xfId="3973" xr:uid="{00000000-0005-0000-0000-0000880D0000}"/>
    <cellStyle name="Normal 4 2 3 4 4 3" xfId="3974" xr:uid="{00000000-0005-0000-0000-0000890D0000}"/>
    <cellStyle name="Normal 4 2 3 4 4 4" xfId="3975" xr:uid="{00000000-0005-0000-0000-00008A0D0000}"/>
    <cellStyle name="Normal 4 2 3 4 4 5" xfId="3976" xr:uid="{00000000-0005-0000-0000-00008B0D0000}"/>
    <cellStyle name="Normal 4 2 3 4 5" xfId="3977" xr:uid="{00000000-0005-0000-0000-00008C0D0000}"/>
    <cellStyle name="Normal 4 2 3 4 5 2" xfId="3978" xr:uid="{00000000-0005-0000-0000-00008D0D0000}"/>
    <cellStyle name="Normal 4 2 3 4 5 2 2" xfId="3979" xr:uid="{00000000-0005-0000-0000-00008E0D0000}"/>
    <cellStyle name="Normal 4 2 3 4 5 2 3" xfId="3980" xr:uid="{00000000-0005-0000-0000-00008F0D0000}"/>
    <cellStyle name="Normal 4 2 3 4 5 3" xfId="3981" xr:uid="{00000000-0005-0000-0000-0000900D0000}"/>
    <cellStyle name="Normal 4 2 3 4 5 4" xfId="3982" xr:uid="{00000000-0005-0000-0000-0000910D0000}"/>
    <cellStyle name="Normal 4 2 3 4 5 5" xfId="3983" xr:uid="{00000000-0005-0000-0000-0000920D0000}"/>
    <cellStyle name="Normal 4 2 3 4 6" xfId="3984" xr:uid="{00000000-0005-0000-0000-0000930D0000}"/>
    <cellStyle name="Normal 4 2 3 4 6 2" xfId="3985" xr:uid="{00000000-0005-0000-0000-0000940D0000}"/>
    <cellStyle name="Normal 4 2 3 4 6 3" xfId="3986" xr:uid="{00000000-0005-0000-0000-0000950D0000}"/>
    <cellStyle name="Normal 4 2 3 4 7" xfId="3987" xr:uid="{00000000-0005-0000-0000-0000960D0000}"/>
    <cellStyle name="Normal 4 2 3 4 8" xfId="3988" xr:uid="{00000000-0005-0000-0000-0000970D0000}"/>
    <cellStyle name="Normal 4 2 3 4 9" xfId="3989" xr:uid="{00000000-0005-0000-0000-0000980D0000}"/>
    <cellStyle name="Normal 4 2 3 5" xfId="3990" xr:uid="{00000000-0005-0000-0000-0000990D0000}"/>
    <cellStyle name="Normal 4 2 3 5 2" xfId="3991" xr:uid="{00000000-0005-0000-0000-00009A0D0000}"/>
    <cellStyle name="Normal 4 2 3 5 2 2" xfId="3992" xr:uid="{00000000-0005-0000-0000-00009B0D0000}"/>
    <cellStyle name="Normal 4 2 3 5 2 2 2" xfId="3993" xr:uid="{00000000-0005-0000-0000-00009C0D0000}"/>
    <cellStyle name="Normal 4 2 3 5 2 2 2 2" xfId="3994" xr:uid="{00000000-0005-0000-0000-00009D0D0000}"/>
    <cellStyle name="Normal 4 2 3 5 2 2 2 2 2" xfId="3995" xr:uid="{00000000-0005-0000-0000-00009E0D0000}"/>
    <cellStyle name="Normal 4 2 3 5 2 2 2 2 3" xfId="3996" xr:uid="{00000000-0005-0000-0000-00009F0D0000}"/>
    <cellStyle name="Normal 4 2 3 5 2 2 2 3" xfId="3997" xr:uid="{00000000-0005-0000-0000-0000A00D0000}"/>
    <cellStyle name="Normal 4 2 3 5 2 2 2 4" xfId="3998" xr:uid="{00000000-0005-0000-0000-0000A10D0000}"/>
    <cellStyle name="Normal 4 2 3 5 2 2 2 5" xfId="3999" xr:uid="{00000000-0005-0000-0000-0000A20D0000}"/>
    <cellStyle name="Normal 4 2 3 5 2 2 3" xfId="4000" xr:uid="{00000000-0005-0000-0000-0000A30D0000}"/>
    <cellStyle name="Normal 4 2 3 5 2 2 3 2" xfId="4001" xr:uid="{00000000-0005-0000-0000-0000A40D0000}"/>
    <cellStyle name="Normal 4 2 3 5 2 2 3 2 2" xfId="4002" xr:uid="{00000000-0005-0000-0000-0000A50D0000}"/>
    <cellStyle name="Normal 4 2 3 5 2 2 3 2 3" xfId="4003" xr:uid="{00000000-0005-0000-0000-0000A60D0000}"/>
    <cellStyle name="Normal 4 2 3 5 2 2 3 3" xfId="4004" xr:uid="{00000000-0005-0000-0000-0000A70D0000}"/>
    <cellStyle name="Normal 4 2 3 5 2 2 3 4" xfId="4005" xr:uid="{00000000-0005-0000-0000-0000A80D0000}"/>
    <cellStyle name="Normal 4 2 3 5 2 2 3 5" xfId="4006" xr:uid="{00000000-0005-0000-0000-0000A90D0000}"/>
    <cellStyle name="Normal 4 2 3 5 2 2 4" xfId="4007" xr:uid="{00000000-0005-0000-0000-0000AA0D0000}"/>
    <cellStyle name="Normal 4 2 3 5 2 2 4 2" xfId="4008" xr:uid="{00000000-0005-0000-0000-0000AB0D0000}"/>
    <cellStyle name="Normal 4 2 3 5 2 2 4 3" xfId="4009" xr:uid="{00000000-0005-0000-0000-0000AC0D0000}"/>
    <cellStyle name="Normal 4 2 3 5 2 2 5" xfId="4010" xr:uid="{00000000-0005-0000-0000-0000AD0D0000}"/>
    <cellStyle name="Normal 4 2 3 5 2 2 6" xfId="4011" xr:uid="{00000000-0005-0000-0000-0000AE0D0000}"/>
    <cellStyle name="Normal 4 2 3 5 2 2 7" xfId="4012" xr:uid="{00000000-0005-0000-0000-0000AF0D0000}"/>
    <cellStyle name="Normal 4 2 3 5 2 3" xfId="4013" xr:uid="{00000000-0005-0000-0000-0000B00D0000}"/>
    <cellStyle name="Normal 4 2 3 5 2 3 2" xfId="4014" xr:uid="{00000000-0005-0000-0000-0000B10D0000}"/>
    <cellStyle name="Normal 4 2 3 5 2 3 2 2" xfId="4015" xr:uid="{00000000-0005-0000-0000-0000B20D0000}"/>
    <cellStyle name="Normal 4 2 3 5 2 3 2 3" xfId="4016" xr:uid="{00000000-0005-0000-0000-0000B30D0000}"/>
    <cellStyle name="Normal 4 2 3 5 2 3 3" xfId="4017" xr:uid="{00000000-0005-0000-0000-0000B40D0000}"/>
    <cellStyle name="Normal 4 2 3 5 2 3 4" xfId="4018" xr:uid="{00000000-0005-0000-0000-0000B50D0000}"/>
    <cellStyle name="Normal 4 2 3 5 2 3 5" xfId="4019" xr:uid="{00000000-0005-0000-0000-0000B60D0000}"/>
    <cellStyle name="Normal 4 2 3 5 2 4" xfId="4020" xr:uid="{00000000-0005-0000-0000-0000B70D0000}"/>
    <cellStyle name="Normal 4 2 3 5 2 4 2" xfId="4021" xr:uid="{00000000-0005-0000-0000-0000B80D0000}"/>
    <cellStyle name="Normal 4 2 3 5 2 4 2 2" xfId="4022" xr:uid="{00000000-0005-0000-0000-0000B90D0000}"/>
    <cellStyle name="Normal 4 2 3 5 2 4 2 3" xfId="4023" xr:uid="{00000000-0005-0000-0000-0000BA0D0000}"/>
    <cellStyle name="Normal 4 2 3 5 2 4 3" xfId="4024" xr:uid="{00000000-0005-0000-0000-0000BB0D0000}"/>
    <cellStyle name="Normal 4 2 3 5 2 4 4" xfId="4025" xr:uid="{00000000-0005-0000-0000-0000BC0D0000}"/>
    <cellStyle name="Normal 4 2 3 5 2 4 5" xfId="4026" xr:uid="{00000000-0005-0000-0000-0000BD0D0000}"/>
    <cellStyle name="Normal 4 2 3 5 2 5" xfId="4027" xr:uid="{00000000-0005-0000-0000-0000BE0D0000}"/>
    <cellStyle name="Normal 4 2 3 5 2 5 2" xfId="4028" xr:uid="{00000000-0005-0000-0000-0000BF0D0000}"/>
    <cellStyle name="Normal 4 2 3 5 2 5 3" xfId="4029" xr:uid="{00000000-0005-0000-0000-0000C00D0000}"/>
    <cellStyle name="Normal 4 2 3 5 2 6" xfId="4030" xr:uid="{00000000-0005-0000-0000-0000C10D0000}"/>
    <cellStyle name="Normal 4 2 3 5 2 7" xfId="4031" xr:uid="{00000000-0005-0000-0000-0000C20D0000}"/>
    <cellStyle name="Normal 4 2 3 5 2 8" xfId="4032" xr:uid="{00000000-0005-0000-0000-0000C30D0000}"/>
    <cellStyle name="Normal 4 2 3 5 3" xfId="4033" xr:uid="{00000000-0005-0000-0000-0000C40D0000}"/>
    <cellStyle name="Normal 4 2 3 5 3 2" xfId="4034" xr:uid="{00000000-0005-0000-0000-0000C50D0000}"/>
    <cellStyle name="Normal 4 2 3 5 3 2 2" xfId="4035" xr:uid="{00000000-0005-0000-0000-0000C60D0000}"/>
    <cellStyle name="Normal 4 2 3 5 3 2 2 2" xfId="4036" xr:uid="{00000000-0005-0000-0000-0000C70D0000}"/>
    <cellStyle name="Normal 4 2 3 5 3 2 2 3" xfId="4037" xr:uid="{00000000-0005-0000-0000-0000C80D0000}"/>
    <cellStyle name="Normal 4 2 3 5 3 2 3" xfId="4038" xr:uid="{00000000-0005-0000-0000-0000C90D0000}"/>
    <cellStyle name="Normal 4 2 3 5 3 2 4" xfId="4039" xr:uid="{00000000-0005-0000-0000-0000CA0D0000}"/>
    <cellStyle name="Normal 4 2 3 5 3 2 5" xfId="4040" xr:uid="{00000000-0005-0000-0000-0000CB0D0000}"/>
    <cellStyle name="Normal 4 2 3 5 3 3" xfId="4041" xr:uid="{00000000-0005-0000-0000-0000CC0D0000}"/>
    <cellStyle name="Normal 4 2 3 5 3 3 2" xfId="4042" xr:uid="{00000000-0005-0000-0000-0000CD0D0000}"/>
    <cellStyle name="Normal 4 2 3 5 3 3 2 2" xfId="4043" xr:uid="{00000000-0005-0000-0000-0000CE0D0000}"/>
    <cellStyle name="Normal 4 2 3 5 3 3 2 3" xfId="4044" xr:uid="{00000000-0005-0000-0000-0000CF0D0000}"/>
    <cellStyle name="Normal 4 2 3 5 3 3 3" xfId="4045" xr:uid="{00000000-0005-0000-0000-0000D00D0000}"/>
    <cellStyle name="Normal 4 2 3 5 3 3 4" xfId="4046" xr:uid="{00000000-0005-0000-0000-0000D10D0000}"/>
    <cellStyle name="Normal 4 2 3 5 3 3 5" xfId="4047" xr:uid="{00000000-0005-0000-0000-0000D20D0000}"/>
    <cellStyle name="Normal 4 2 3 5 3 4" xfId="4048" xr:uid="{00000000-0005-0000-0000-0000D30D0000}"/>
    <cellStyle name="Normal 4 2 3 5 3 4 2" xfId="4049" xr:uid="{00000000-0005-0000-0000-0000D40D0000}"/>
    <cellStyle name="Normal 4 2 3 5 3 4 3" xfId="4050" xr:uid="{00000000-0005-0000-0000-0000D50D0000}"/>
    <cellStyle name="Normal 4 2 3 5 3 5" xfId="4051" xr:uid="{00000000-0005-0000-0000-0000D60D0000}"/>
    <cellStyle name="Normal 4 2 3 5 3 6" xfId="4052" xr:uid="{00000000-0005-0000-0000-0000D70D0000}"/>
    <cellStyle name="Normal 4 2 3 5 3 7" xfId="4053" xr:uid="{00000000-0005-0000-0000-0000D80D0000}"/>
    <cellStyle name="Normal 4 2 3 5 4" xfId="4054" xr:uid="{00000000-0005-0000-0000-0000D90D0000}"/>
    <cellStyle name="Normal 4 2 3 5 4 2" xfId="4055" xr:uid="{00000000-0005-0000-0000-0000DA0D0000}"/>
    <cellStyle name="Normal 4 2 3 5 4 2 2" xfId="4056" xr:uid="{00000000-0005-0000-0000-0000DB0D0000}"/>
    <cellStyle name="Normal 4 2 3 5 4 2 3" xfId="4057" xr:uid="{00000000-0005-0000-0000-0000DC0D0000}"/>
    <cellStyle name="Normal 4 2 3 5 4 3" xfId="4058" xr:uid="{00000000-0005-0000-0000-0000DD0D0000}"/>
    <cellStyle name="Normal 4 2 3 5 4 4" xfId="4059" xr:uid="{00000000-0005-0000-0000-0000DE0D0000}"/>
    <cellStyle name="Normal 4 2 3 5 4 5" xfId="4060" xr:uid="{00000000-0005-0000-0000-0000DF0D0000}"/>
    <cellStyle name="Normal 4 2 3 5 5" xfId="4061" xr:uid="{00000000-0005-0000-0000-0000E00D0000}"/>
    <cellStyle name="Normal 4 2 3 5 5 2" xfId="4062" xr:uid="{00000000-0005-0000-0000-0000E10D0000}"/>
    <cellStyle name="Normal 4 2 3 5 5 2 2" xfId="4063" xr:uid="{00000000-0005-0000-0000-0000E20D0000}"/>
    <cellStyle name="Normal 4 2 3 5 5 2 3" xfId="4064" xr:uid="{00000000-0005-0000-0000-0000E30D0000}"/>
    <cellStyle name="Normal 4 2 3 5 5 3" xfId="4065" xr:uid="{00000000-0005-0000-0000-0000E40D0000}"/>
    <cellStyle name="Normal 4 2 3 5 5 4" xfId="4066" xr:uid="{00000000-0005-0000-0000-0000E50D0000}"/>
    <cellStyle name="Normal 4 2 3 5 5 5" xfId="4067" xr:uid="{00000000-0005-0000-0000-0000E60D0000}"/>
    <cellStyle name="Normal 4 2 3 5 6" xfId="4068" xr:uid="{00000000-0005-0000-0000-0000E70D0000}"/>
    <cellStyle name="Normal 4 2 3 5 6 2" xfId="4069" xr:uid="{00000000-0005-0000-0000-0000E80D0000}"/>
    <cellStyle name="Normal 4 2 3 5 6 3" xfId="4070" xr:uid="{00000000-0005-0000-0000-0000E90D0000}"/>
    <cellStyle name="Normal 4 2 3 5 7" xfId="4071" xr:uid="{00000000-0005-0000-0000-0000EA0D0000}"/>
    <cellStyle name="Normal 4 2 3 5 8" xfId="4072" xr:uid="{00000000-0005-0000-0000-0000EB0D0000}"/>
    <cellStyle name="Normal 4 2 3 5 9" xfId="4073" xr:uid="{00000000-0005-0000-0000-0000EC0D0000}"/>
    <cellStyle name="Normal 4 2 3 6" xfId="4074" xr:uid="{00000000-0005-0000-0000-0000ED0D0000}"/>
    <cellStyle name="Normal 4 2 3 6 2" xfId="4075" xr:uid="{00000000-0005-0000-0000-0000EE0D0000}"/>
    <cellStyle name="Normal 4 2 3 6 2 2" xfId="4076" xr:uid="{00000000-0005-0000-0000-0000EF0D0000}"/>
    <cellStyle name="Normal 4 2 3 6 2 2 2" xfId="4077" xr:uid="{00000000-0005-0000-0000-0000F00D0000}"/>
    <cellStyle name="Normal 4 2 3 6 2 2 2 2" xfId="4078" xr:uid="{00000000-0005-0000-0000-0000F10D0000}"/>
    <cellStyle name="Normal 4 2 3 6 2 2 2 3" xfId="4079" xr:uid="{00000000-0005-0000-0000-0000F20D0000}"/>
    <cellStyle name="Normal 4 2 3 6 2 2 3" xfId="4080" xr:uid="{00000000-0005-0000-0000-0000F30D0000}"/>
    <cellStyle name="Normal 4 2 3 6 2 2 4" xfId="4081" xr:uid="{00000000-0005-0000-0000-0000F40D0000}"/>
    <cellStyle name="Normal 4 2 3 6 2 2 5" xfId="4082" xr:uid="{00000000-0005-0000-0000-0000F50D0000}"/>
    <cellStyle name="Normal 4 2 3 6 2 3" xfId="4083" xr:uid="{00000000-0005-0000-0000-0000F60D0000}"/>
    <cellStyle name="Normal 4 2 3 6 2 3 2" xfId="4084" xr:uid="{00000000-0005-0000-0000-0000F70D0000}"/>
    <cellStyle name="Normal 4 2 3 6 2 3 2 2" xfId="4085" xr:uid="{00000000-0005-0000-0000-0000F80D0000}"/>
    <cellStyle name="Normal 4 2 3 6 2 3 2 3" xfId="4086" xr:uid="{00000000-0005-0000-0000-0000F90D0000}"/>
    <cellStyle name="Normal 4 2 3 6 2 3 3" xfId="4087" xr:uid="{00000000-0005-0000-0000-0000FA0D0000}"/>
    <cellStyle name="Normal 4 2 3 6 2 3 4" xfId="4088" xr:uid="{00000000-0005-0000-0000-0000FB0D0000}"/>
    <cellStyle name="Normal 4 2 3 6 2 3 5" xfId="4089" xr:uid="{00000000-0005-0000-0000-0000FC0D0000}"/>
    <cellStyle name="Normal 4 2 3 6 2 4" xfId="4090" xr:uid="{00000000-0005-0000-0000-0000FD0D0000}"/>
    <cellStyle name="Normal 4 2 3 6 2 4 2" xfId="4091" xr:uid="{00000000-0005-0000-0000-0000FE0D0000}"/>
    <cellStyle name="Normal 4 2 3 6 2 4 3" xfId="4092" xr:uid="{00000000-0005-0000-0000-0000FF0D0000}"/>
    <cellStyle name="Normal 4 2 3 6 2 5" xfId="4093" xr:uid="{00000000-0005-0000-0000-0000000E0000}"/>
    <cellStyle name="Normal 4 2 3 6 2 6" xfId="4094" xr:uid="{00000000-0005-0000-0000-0000010E0000}"/>
    <cellStyle name="Normal 4 2 3 6 2 7" xfId="4095" xr:uid="{00000000-0005-0000-0000-0000020E0000}"/>
    <cellStyle name="Normal 4 2 3 6 3" xfId="4096" xr:uid="{00000000-0005-0000-0000-0000030E0000}"/>
    <cellStyle name="Normal 4 2 3 6 3 2" xfId="4097" xr:uid="{00000000-0005-0000-0000-0000040E0000}"/>
    <cellStyle name="Normal 4 2 3 6 3 2 2" xfId="4098" xr:uid="{00000000-0005-0000-0000-0000050E0000}"/>
    <cellStyle name="Normal 4 2 3 6 3 2 3" xfId="4099" xr:uid="{00000000-0005-0000-0000-0000060E0000}"/>
    <cellStyle name="Normal 4 2 3 6 3 3" xfId="4100" xr:uid="{00000000-0005-0000-0000-0000070E0000}"/>
    <cellStyle name="Normal 4 2 3 6 3 4" xfId="4101" xr:uid="{00000000-0005-0000-0000-0000080E0000}"/>
    <cellStyle name="Normal 4 2 3 6 3 5" xfId="4102" xr:uid="{00000000-0005-0000-0000-0000090E0000}"/>
    <cellStyle name="Normal 4 2 3 6 4" xfId="4103" xr:uid="{00000000-0005-0000-0000-00000A0E0000}"/>
    <cellStyle name="Normal 4 2 3 6 4 2" xfId="4104" xr:uid="{00000000-0005-0000-0000-00000B0E0000}"/>
    <cellStyle name="Normal 4 2 3 6 4 2 2" xfId="4105" xr:uid="{00000000-0005-0000-0000-00000C0E0000}"/>
    <cellStyle name="Normal 4 2 3 6 4 2 3" xfId="4106" xr:uid="{00000000-0005-0000-0000-00000D0E0000}"/>
    <cellStyle name="Normal 4 2 3 6 4 3" xfId="4107" xr:uid="{00000000-0005-0000-0000-00000E0E0000}"/>
    <cellStyle name="Normal 4 2 3 6 4 4" xfId="4108" xr:uid="{00000000-0005-0000-0000-00000F0E0000}"/>
    <cellStyle name="Normal 4 2 3 6 4 5" xfId="4109" xr:uid="{00000000-0005-0000-0000-0000100E0000}"/>
    <cellStyle name="Normal 4 2 3 6 5" xfId="4110" xr:uid="{00000000-0005-0000-0000-0000110E0000}"/>
    <cellStyle name="Normal 4 2 3 6 5 2" xfId="4111" xr:uid="{00000000-0005-0000-0000-0000120E0000}"/>
    <cellStyle name="Normal 4 2 3 6 5 3" xfId="4112" xr:uid="{00000000-0005-0000-0000-0000130E0000}"/>
    <cellStyle name="Normal 4 2 3 6 6" xfId="4113" xr:uid="{00000000-0005-0000-0000-0000140E0000}"/>
    <cellStyle name="Normal 4 2 3 6 7" xfId="4114" xr:uid="{00000000-0005-0000-0000-0000150E0000}"/>
    <cellStyle name="Normal 4 2 3 6 8" xfId="4115" xr:uid="{00000000-0005-0000-0000-0000160E0000}"/>
    <cellStyle name="Normal 4 2 3 7" xfId="4116" xr:uid="{00000000-0005-0000-0000-0000170E0000}"/>
    <cellStyle name="Normal 4 2 3 7 2" xfId="4117" xr:uid="{00000000-0005-0000-0000-0000180E0000}"/>
    <cellStyle name="Normal 4 2 3 7 2 2" xfId="4118" xr:uid="{00000000-0005-0000-0000-0000190E0000}"/>
    <cellStyle name="Normal 4 2 3 7 2 2 2" xfId="4119" xr:uid="{00000000-0005-0000-0000-00001A0E0000}"/>
    <cellStyle name="Normal 4 2 3 7 2 2 3" xfId="4120" xr:uid="{00000000-0005-0000-0000-00001B0E0000}"/>
    <cellStyle name="Normal 4 2 3 7 2 3" xfId="4121" xr:uid="{00000000-0005-0000-0000-00001C0E0000}"/>
    <cellStyle name="Normal 4 2 3 7 2 4" xfId="4122" xr:uid="{00000000-0005-0000-0000-00001D0E0000}"/>
    <cellStyle name="Normal 4 2 3 7 2 5" xfId="4123" xr:uid="{00000000-0005-0000-0000-00001E0E0000}"/>
    <cellStyle name="Normal 4 2 3 7 3" xfId="4124" xr:uid="{00000000-0005-0000-0000-00001F0E0000}"/>
    <cellStyle name="Normal 4 2 3 7 3 2" xfId="4125" xr:uid="{00000000-0005-0000-0000-0000200E0000}"/>
    <cellStyle name="Normal 4 2 3 7 3 2 2" xfId="4126" xr:uid="{00000000-0005-0000-0000-0000210E0000}"/>
    <cellStyle name="Normal 4 2 3 7 3 2 3" xfId="4127" xr:uid="{00000000-0005-0000-0000-0000220E0000}"/>
    <cellStyle name="Normal 4 2 3 7 3 3" xfId="4128" xr:uid="{00000000-0005-0000-0000-0000230E0000}"/>
    <cellStyle name="Normal 4 2 3 7 3 4" xfId="4129" xr:uid="{00000000-0005-0000-0000-0000240E0000}"/>
    <cellStyle name="Normal 4 2 3 7 3 5" xfId="4130" xr:uid="{00000000-0005-0000-0000-0000250E0000}"/>
    <cellStyle name="Normal 4 2 3 7 4" xfId="4131" xr:uid="{00000000-0005-0000-0000-0000260E0000}"/>
    <cellStyle name="Normal 4 2 3 7 4 2" xfId="4132" xr:uid="{00000000-0005-0000-0000-0000270E0000}"/>
    <cellStyle name="Normal 4 2 3 7 4 3" xfId="4133" xr:uid="{00000000-0005-0000-0000-0000280E0000}"/>
    <cellStyle name="Normal 4 2 3 7 5" xfId="4134" xr:uid="{00000000-0005-0000-0000-0000290E0000}"/>
    <cellStyle name="Normal 4 2 3 7 6" xfId="4135" xr:uid="{00000000-0005-0000-0000-00002A0E0000}"/>
    <cellStyle name="Normal 4 2 3 7 7" xfId="4136" xr:uid="{00000000-0005-0000-0000-00002B0E0000}"/>
    <cellStyle name="Normal 4 2 3 8" xfId="4137" xr:uid="{00000000-0005-0000-0000-00002C0E0000}"/>
    <cellStyle name="Normal 4 2 3 8 2" xfId="4138" xr:uid="{00000000-0005-0000-0000-00002D0E0000}"/>
    <cellStyle name="Normal 4 2 3 8 2 2" xfId="4139" xr:uid="{00000000-0005-0000-0000-00002E0E0000}"/>
    <cellStyle name="Normal 4 2 3 8 2 2 2" xfId="4140" xr:uid="{00000000-0005-0000-0000-00002F0E0000}"/>
    <cellStyle name="Normal 4 2 3 8 2 2 3" xfId="4141" xr:uid="{00000000-0005-0000-0000-0000300E0000}"/>
    <cellStyle name="Normal 4 2 3 8 2 3" xfId="4142" xr:uid="{00000000-0005-0000-0000-0000310E0000}"/>
    <cellStyle name="Normal 4 2 3 8 2 4" xfId="4143" xr:uid="{00000000-0005-0000-0000-0000320E0000}"/>
    <cellStyle name="Normal 4 2 3 8 2 5" xfId="4144" xr:uid="{00000000-0005-0000-0000-0000330E0000}"/>
    <cellStyle name="Normal 4 2 3 8 3" xfId="4145" xr:uid="{00000000-0005-0000-0000-0000340E0000}"/>
    <cellStyle name="Normal 4 2 3 8 3 2" xfId="4146" xr:uid="{00000000-0005-0000-0000-0000350E0000}"/>
    <cellStyle name="Normal 4 2 3 8 3 2 2" xfId="4147" xr:uid="{00000000-0005-0000-0000-0000360E0000}"/>
    <cellStyle name="Normal 4 2 3 8 3 2 3" xfId="4148" xr:uid="{00000000-0005-0000-0000-0000370E0000}"/>
    <cellStyle name="Normal 4 2 3 8 3 3" xfId="4149" xr:uid="{00000000-0005-0000-0000-0000380E0000}"/>
    <cellStyle name="Normal 4 2 3 8 3 4" xfId="4150" xr:uid="{00000000-0005-0000-0000-0000390E0000}"/>
    <cellStyle name="Normal 4 2 3 8 3 5" xfId="4151" xr:uid="{00000000-0005-0000-0000-00003A0E0000}"/>
    <cellStyle name="Normal 4 2 3 8 4" xfId="4152" xr:uid="{00000000-0005-0000-0000-00003B0E0000}"/>
    <cellStyle name="Normal 4 2 3 8 4 2" xfId="4153" xr:uid="{00000000-0005-0000-0000-00003C0E0000}"/>
    <cellStyle name="Normal 4 2 3 8 4 3" xfId="4154" xr:uid="{00000000-0005-0000-0000-00003D0E0000}"/>
    <cellStyle name="Normal 4 2 3 8 5" xfId="4155" xr:uid="{00000000-0005-0000-0000-00003E0E0000}"/>
    <cellStyle name="Normal 4 2 3 8 6" xfId="4156" xr:uid="{00000000-0005-0000-0000-00003F0E0000}"/>
    <cellStyle name="Normal 4 2 3 8 7" xfId="4157" xr:uid="{00000000-0005-0000-0000-0000400E0000}"/>
    <cellStyle name="Normal 4 2 3 9" xfId="4158" xr:uid="{00000000-0005-0000-0000-0000410E0000}"/>
    <cellStyle name="Normal 4 2 3 9 2" xfId="4159" xr:uid="{00000000-0005-0000-0000-0000420E0000}"/>
    <cellStyle name="Normal 4 2 3 9 2 2" xfId="4160" xr:uid="{00000000-0005-0000-0000-0000430E0000}"/>
    <cellStyle name="Normal 4 2 3 9 2 3" xfId="4161" xr:uid="{00000000-0005-0000-0000-0000440E0000}"/>
    <cellStyle name="Normal 4 2 3 9 3" xfId="4162" xr:uid="{00000000-0005-0000-0000-0000450E0000}"/>
    <cellStyle name="Normal 4 2 3 9 4" xfId="4163" xr:uid="{00000000-0005-0000-0000-0000460E0000}"/>
    <cellStyle name="Normal 4 2 3 9 5" xfId="4164" xr:uid="{00000000-0005-0000-0000-0000470E0000}"/>
    <cellStyle name="Normal 4 2 4" xfId="4165" xr:uid="{00000000-0005-0000-0000-0000480E0000}"/>
    <cellStyle name="Normal 4 2 4 10" xfId="4166" xr:uid="{00000000-0005-0000-0000-0000490E0000}"/>
    <cellStyle name="Normal 4 2 4 11" xfId="4167" xr:uid="{00000000-0005-0000-0000-00004A0E0000}"/>
    <cellStyle name="Normal 4 2 4 12" xfId="4168" xr:uid="{00000000-0005-0000-0000-00004B0E0000}"/>
    <cellStyle name="Normal 4 2 4 2" xfId="4169" xr:uid="{00000000-0005-0000-0000-00004C0E0000}"/>
    <cellStyle name="Normal 4 2 4 2 2" xfId="4170" xr:uid="{00000000-0005-0000-0000-00004D0E0000}"/>
    <cellStyle name="Normal 4 2 4 2 2 2" xfId="4171" xr:uid="{00000000-0005-0000-0000-00004E0E0000}"/>
    <cellStyle name="Normal 4 2 4 2 2 2 2" xfId="4172" xr:uid="{00000000-0005-0000-0000-00004F0E0000}"/>
    <cellStyle name="Normal 4 2 4 2 2 2 2 2" xfId="4173" xr:uid="{00000000-0005-0000-0000-0000500E0000}"/>
    <cellStyle name="Normal 4 2 4 2 2 2 2 2 2" xfId="4174" xr:uid="{00000000-0005-0000-0000-0000510E0000}"/>
    <cellStyle name="Normal 4 2 4 2 2 2 2 2 3" xfId="4175" xr:uid="{00000000-0005-0000-0000-0000520E0000}"/>
    <cellStyle name="Normal 4 2 4 2 2 2 2 3" xfId="4176" xr:uid="{00000000-0005-0000-0000-0000530E0000}"/>
    <cellStyle name="Normal 4 2 4 2 2 2 2 4" xfId="4177" xr:uid="{00000000-0005-0000-0000-0000540E0000}"/>
    <cellStyle name="Normal 4 2 4 2 2 2 2 5" xfId="4178" xr:uid="{00000000-0005-0000-0000-0000550E0000}"/>
    <cellStyle name="Normal 4 2 4 2 2 2 3" xfId="4179" xr:uid="{00000000-0005-0000-0000-0000560E0000}"/>
    <cellStyle name="Normal 4 2 4 2 2 2 3 2" xfId="4180" xr:uid="{00000000-0005-0000-0000-0000570E0000}"/>
    <cellStyle name="Normal 4 2 4 2 2 2 3 2 2" xfId="4181" xr:uid="{00000000-0005-0000-0000-0000580E0000}"/>
    <cellStyle name="Normal 4 2 4 2 2 2 3 2 3" xfId="4182" xr:uid="{00000000-0005-0000-0000-0000590E0000}"/>
    <cellStyle name="Normal 4 2 4 2 2 2 3 3" xfId="4183" xr:uid="{00000000-0005-0000-0000-00005A0E0000}"/>
    <cellStyle name="Normal 4 2 4 2 2 2 3 4" xfId="4184" xr:uid="{00000000-0005-0000-0000-00005B0E0000}"/>
    <cellStyle name="Normal 4 2 4 2 2 2 3 5" xfId="4185" xr:uid="{00000000-0005-0000-0000-00005C0E0000}"/>
    <cellStyle name="Normal 4 2 4 2 2 2 4" xfId="4186" xr:uid="{00000000-0005-0000-0000-00005D0E0000}"/>
    <cellStyle name="Normal 4 2 4 2 2 2 4 2" xfId="4187" xr:uid="{00000000-0005-0000-0000-00005E0E0000}"/>
    <cellStyle name="Normal 4 2 4 2 2 2 4 3" xfId="4188" xr:uid="{00000000-0005-0000-0000-00005F0E0000}"/>
    <cellStyle name="Normal 4 2 4 2 2 2 5" xfId="4189" xr:uid="{00000000-0005-0000-0000-0000600E0000}"/>
    <cellStyle name="Normal 4 2 4 2 2 2 6" xfId="4190" xr:uid="{00000000-0005-0000-0000-0000610E0000}"/>
    <cellStyle name="Normal 4 2 4 2 2 2 7" xfId="4191" xr:uid="{00000000-0005-0000-0000-0000620E0000}"/>
    <cellStyle name="Normal 4 2 4 2 2 3" xfId="4192" xr:uid="{00000000-0005-0000-0000-0000630E0000}"/>
    <cellStyle name="Normal 4 2 4 2 2 3 2" xfId="4193" xr:uid="{00000000-0005-0000-0000-0000640E0000}"/>
    <cellStyle name="Normal 4 2 4 2 2 3 2 2" xfId="4194" xr:uid="{00000000-0005-0000-0000-0000650E0000}"/>
    <cellStyle name="Normal 4 2 4 2 2 3 2 3" xfId="4195" xr:uid="{00000000-0005-0000-0000-0000660E0000}"/>
    <cellStyle name="Normal 4 2 4 2 2 3 3" xfId="4196" xr:uid="{00000000-0005-0000-0000-0000670E0000}"/>
    <cellStyle name="Normal 4 2 4 2 2 3 4" xfId="4197" xr:uid="{00000000-0005-0000-0000-0000680E0000}"/>
    <cellStyle name="Normal 4 2 4 2 2 3 5" xfId="4198" xr:uid="{00000000-0005-0000-0000-0000690E0000}"/>
    <cellStyle name="Normal 4 2 4 2 2 4" xfId="4199" xr:uid="{00000000-0005-0000-0000-00006A0E0000}"/>
    <cellStyle name="Normal 4 2 4 2 2 4 2" xfId="4200" xr:uid="{00000000-0005-0000-0000-00006B0E0000}"/>
    <cellStyle name="Normal 4 2 4 2 2 4 2 2" xfId="4201" xr:uid="{00000000-0005-0000-0000-00006C0E0000}"/>
    <cellStyle name="Normal 4 2 4 2 2 4 2 3" xfId="4202" xr:uid="{00000000-0005-0000-0000-00006D0E0000}"/>
    <cellStyle name="Normal 4 2 4 2 2 4 3" xfId="4203" xr:uid="{00000000-0005-0000-0000-00006E0E0000}"/>
    <cellStyle name="Normal 4 2 4 2 2 4 4" xfId="4204" xr:uid="{00000000-0005-0000-0000-00006F0E0000}"/>
    <cellStyle name="Normal 4 2 4 2 2 4 5" xfId="4205" xr:uid="{00000000-0005-0000-0000-0000700E0000}"/>
    <cellStyle name="Normal 4 2 4 2 2 5" xfId="4206" xr:uid="{00000000-0005-0000-0000-0000710E0000}"/>
    <cellStyle name="Normal 4 2 4 2 2 5 2" xfId="4207" xr:uid="{00000000-0005-0000-0000-0000720E0000}"/>
    <cellStyle name="Normal 4 2 4 2 2 5 3" xfId="4208" xr:uid="{00000000-0005-0000-0000-0000730E0000}"/>
    <cellStyle name="Normal 4 2 4 2 2 6" xfId="4209" xr:uid="{00000000-0005-0000-0000-0000740E0000}"/>
    <cellStyle name="Normal 4 2 4 2 2 7" xfId="4210" xr:uid="{00000000-0005-0000-0000-0000750E0000}"/>
    <cellStyle name="Normal 4 2 4 2 2 8" xfId="4211" xr:uid="{00000000-0005-0000-0000-0000760E0000}"/>
    <cellStyle name="Normal 4 2 4 2 3" xfId="4212" xr:uid="{00000000-0005-0000-0000-0000770E0000}"/>
    <cellStyle name="Normal 4 2 4 2 3 2" xfId="4213" xr:uid="{00000000-0005-0000-0000-0000780E0000}"/>
    <cellStyle name="Normal 4 2 4 2 3 2 2" xfId="4214" xr:uid="{00000000-0005-0000-0000-0000790E0000}"/>
    <cellStyle name="Normal 4 2 4 2 3 2 2 2" xfId="4215" xr:uid="{00000000-0005-0000-0000-00007A0E0000}"/>
    <cellStyle name="Normal 4 2 4 2 3 2 2 3" xfId="4216" xr:uid="{00000000-0005-0000-0000-00007B0E0000}"/>
    <cellStyle name="Normal 4 2 4 2 3 2 3" xfId="4217" xr:uid="{00000000-0005-0000-0000-00007C0E0000}"/>
    <cellStyle name="Normal 4 2 4 2 3 2 4" xfId="4218" xr:uid="{00000000-0005-0000-0000-00007D0E0000}"/>
    <cellStyle name="Normal 4 2 4 2 3 2 5" xfId="4219" xr:uid="{00000000-0005-0000-0000-00007E0E0000}"/>
    <cellStyle name="Normal 4 2 4 2 3 3" xfId="4220" xr:uid="{00000000-0005-0000-0000-00007F0E0000}"/>
    <cellStyle name="Normal 4 2 4 2 3 3 2" xfId="4221" xr:uid="{00000000-0005-0000-0000-0000800E0000}"/>
    <cellStyle name="Normal 4 2 4 2 3 3 2 2" xfId="4222" xr:uid="{00000000-0005-0000-0000-0000810E0000}"/>
    <cellStyle name="Normal 4 2 4 2 3 3 2 3" xfId="4223" xr:uid="{00000000-0005-0000-0000-0000820E0000}"/>
    <cellStyle name="Normal 4 2 4 2 3 3 3" xfId="4224" xr:uid="{00000000-0005-0000-0000-0000830E0000}"/>
    <cellStyle name="Normal 4 2 4 2 3 3 4" xfId="4225" xr:uid="{00000000-0005-0000-0000-0000840E0000}"/>
    <cellStyle name="Normal 4 2 4 2 3 3 5" xfId="4226" xr:uid="{00000000-0005-0000-0000-0000850E0000}"/>
    <cellStyle name="Normal 4 2 4 2 3 4" xfId="4227" xr:uid="{00000000-0005-0000-0000-0000860E0000}"/>
    <cellStyle name="Normal 4 2 4 2 3 4 2" xfId="4228" xr:uid="{00000000-0005-0000-0000-0000870E0000}"/>
    <cellStyle name="Normal 4 2 4 2 3 4 3" xfId="4229" xr:uid="{00000000-0005-0000-0000-0000880E0000}"/>
    <cellStyle name="Normal 4 2 4 2 3 5" xfId="4230" xr:uid="{00000000-0005-0000-0000-0000890E0000}"/>
    <cellStyle name="Normal 4 2 4 2 3 6" xfId="4231" xr:uid="{00000000-0005-0000-0000-00008A0E0000}"/>
    <cellStyle name="Normal 4 2 4 2 3 7" xfId="4232" xr:uid="{00000000-0005-0000-0000-00008B0E0000}"/>
    <cellStyle name="Normal 4 2 4 2 4" xfId="4233" xr:uid="{00000000-0005-0000-0000-00008C0E0000}"/>
    <cellStyle name="Normal 4 2 4 2 4 2" xfId="4234" xr:uid="{00000000-0005-0000-0000-00008D0E0000}"/>
    <cellStyle name="Normal 4 2 4 2 4 2 2" xfId="4235" xr:uid="{00000000-0005-0000-0000-00008E0E0000}"/>
    <cellStyle name="Normal 4 2 4 2 4 2 3" xfId="4236" xr:uid="{00000000-0005-0000-0000-00008F0E0000}"/>
    <cellStyle name="Normal 4 2 4 2 4 3" xfId="4237" xr:uid="{00000000-0005-0000-0000-0000900E0000}"/>
    <cellStyle name="Normal 4 2 4 2 4 4" xfId="4238" xr:uid="{00000000-0005-0000-0000-0000910E0000}"/>
    <cellStyle name="Normal 4 2 4 2 4 5" xfId="4239" xr:uid="{00000000-0005-0000-0000-0000920E0000}"/>
    <cellStyle name="Normal 4 2 4 2 5" xfId="4240" xr:uid="{00000000-0005-0000-0000-0000930E0000}"/>
    <cellStyle name="Normal 4 2 4 2 5 2" xfId="4241" xr:uid="{00000000-0005-0000-0000-0000940E0000}"/>
    <cellStyle name="Normal 4 2 4 2 5 2 2" xfId="4242" xr:uid="{00000000-0005-0000-0000-0000950E0000}"/>
    <cellStyle name="Normal 4 2 4 2 5 2 3" xfId="4243" xr:uid="{00000000-0005-0000-0000-0000960E0000}"/>
    <cellStyle name="Normal 4 2 4 2 5 3" xfId="4244" xr:uid="{00000000-0005-0000-0000-0000970E0000}"/>
    <cellStyle name="Normal 4 2 4 2 5 4" xfId="4245" xr:uid="{00000000-0005-0000-0000-0000980E0000}"/>
    <cellStyle name="Normal 4 2 4 2 5 5" xfId="4246" xr:uid="{00000000-0005-0000-0000-0000990E0000}"/>
    <cellStyle name="Normal 4 2 4 2 6" xfId="4247" xr:uid="{00000000-0005-0000-0000-00009A0E0000}"/>
    <cellStyle name="Normal 4 2 4 2 6 2" xfId="4248" xr:uid="{00000000-0005-0000-0000-00009B0E0000}"/>
    <cellStyle name="Normal 4 2 4 2 6 3" xfId="4249" xr:uid="{00000000-0005-0000-0000-00009C0E0000}"/>
    <cellStyle name="Normal 4 2 4 2 7" xfId="4250" xr:uid="{00000000-0005-0000-0000-00009D0E0000}"/>
    <cellStyle name="Normal 4 2 4 2 8" xfId="4251" xr:uid="{00000000-0005-0000-0000-00009E0E0000}"/>
    <cellStyle name="Normal 4 2 4 2 9" xfId="4252" xr:uid="{00000000-0005-0000-0000-00009F0E0000}"/>
    <cellStyle name="Normal 4 2 4 3" xfId="4253" xr:uid="{00000000-0005-0000-0000-0000A00E0000}"/>
    <cellStyle name="Normal 4 2 4 3 2" xfId="4254" xr:uid="{00000000-0005-0000-0000-0000A10E0000}"/>
    <cellStyle name="Normal 4 2 4 3 2 2" xfId="4255" xr:uid="{00000000-0005-0000-0000-0000A20E0000}"/>
    <cellStyle name="Normal 4 2 4 3 2 2 2" xfId="4256" xr:uid="{00000000-0005-0000-0000-0000A30E0000}"/>
    <cellStyle name="Normal 4 2 4 3 2 2 2 2" xfId="4257" xr:uid="{00000000-0005-0000-0000-0000A40E0000}"/>
    <cellStyle name="Normal 4 2 4 3 2 2 2 2 2" xfId="4258" xr:uid="{00000000-0005-0000-0000-0000A50E0000}"/>
    <cellStyle name="Normal 4 2 4 3 2 2 2 2 3" xfId="4259" xr:uid="{00000000-0005-0000-0000-0000A60E0000}"/>
    <cellStyle name="Normal 4 2 4 3 2 2 2 3" xfId="4260" xr:uid="{00000000-0005-0000-0000-0000A70E0000}"/>
    <cellStyle name="Normal 4 2 4 3 2 2 2 4" xfId="4261" xr:uid="{00000000-0005-0000-0000-0000A80E0000}"/>
    <cellStyle name="Normal 4 2 4 3 2 2 2 5" xfId="4262" xr:uid="{00000000-0005-0000-0000-0000A90E0000}"/>
    <cellStyle name="Normal 4 2 4 3 2 2 3" xfId="4263" xr:uid="{00000000-0005-0000-0000-0000AA0E0000}"/>
    <cellStyle name="Normal 4 2 4 3 2 2 3 2" xfId="4264" xr:uid="{00000000-0005-0000-0000-0000AB0E0000}"/>
    <cellStyle name="Normal 4 2 4 3 2 2 3 2 2" xfId="4265" xr:uid="{00000000-0005-0000-0000-0000AC0E0000}"/>
    <cellStyle name="Normal 4 2 4 3 2 2 3 2 3" xfId="4266" xr:uid="{00000000-0005-0000-0000-0000AD0E0000}"/>
    <cellStyle name="Normal 4 2 4 3 2 2 3 3" xfId="4267" xr:uid="{00000000-0005-0000-0000-0000AE0E0000}"/>
    <cellStyle name="Normal 4 2 4 3 2 2 3 4" xfId="4268" xr:uid="{00000000-0005-0000-0000-0000AF0E0000}"/>
    <cellStyle name="Normal 4 2 4 3 2 2 3 5" xfId="4269" xr:uid="{00000000-0005-0000-0000-0000B00E0000}"/>
    <cellStyle name="Normal 4 2 4 3 2 2 4" xfId="4270" xr:uid="{00000000-0005-0000-0000-0000B10E0000}"/>
    <cellStyle name="Normal 4 2 4 3 2 2 4 2" xfId="4271" xr:uid="{00000000-0005-0000-0000-0000B20E0000}"/>
    <cellStyle name="Normal 4 2 4 3 2 2 4 3" xfId="4272" xr:uid="{00000000-0005-0000-0000-0000B30E0000}"/>
    <cellStyle name="Normal 4 2 4 3 2 2 5" xfId="4273" xr:uid="{00000000-0005-0000-0000-0000B40E0000}"/>
    <cellStyle name="Normal 4 2 4 3 2 2 6" xfId="4274" xr:uid="{00000000-0005-0000-0000-0000B50E0000}"/>
    <cellStyle name="Normal 4 2 4 3 2 2 7" xfId="4275" xr:uid="{00000000-0005-0000-0000-0000B60E0000}"/>
    <cellStyle name="Normal 4 2 4 3 2 3" xfId="4276" xr:uid="{00000000-0005-0000-0000-0000B70E0000}"/>
    <cellStyle name="Normal 4 2 4 3 2 3 2" xfId="4277" xr:uid="{00000000-0005-0000-0000-0000B80E0000}"/>
    <cellStyle name="Normal 4 2 4 3 2 3 2 2" xfId="4278" xr:uid="{00000000-0005-0000-0000-0000B90E0000}"/>
    <cellStyle name="Normal 4 2 4 3 2 3 2 3" xfId="4279" xr:uid="{00000000-0005-0000-0000-0000BA0E0000}"/>
    <cellStyle name="Normal 4 2 4 3 2 3 3" xfId="4280" xr:uid="{00000000-0005-0000-0000-0000BB0E0000}"/>
    <cellStyle name="Normal 4 2 4 3 2 3 4" xfId="4281" xr:uid="{00000000-0005-0000-0000-0000BC0E0000}"/>
    <cellStyle name="Normal 4 2 4 3 2 3 5" xfId="4282" xr:uid="{00000000-0005-0000-0000-0000BD0E0000}"/>
    <cellStyle name="Normal 4 2 4 3 2 4" xfId="4283" xr:uid="{00000000-0005-0000-0000-0000BE0E0000}"/>
    <cellStyle name="Normal 4 2 4 3 2 4 2" xfId="4284" xr:uid="{00000000-0005-0000-0000-0000BF0E0000}"/>
    <cellStyle name="Normal 4 2 4 3 2 4 2 2" xfId="4285" xr:uid="{00000000-0005-0000-0000-0000C00E0000}"/>
    <cellStyle name="Normal 4 2 4 3 2 4 2 3" xfId="4286" xr:uid="{00000000-0005-0000-0000-0000C10E0000}"/>
    <cellStyle name="Normal 4 2 4 3 2 4 3" xfId="4287" xr:uid="{00000000-0005-0000-0000-0000C20E0000}"/>
    <cellStyle name="Normal 4 2 4 3 2 4 4" xfId="4288" xr:uid="{00000000-0005-0000-0000-0000C30E0000}"/>
    <cellStyle name="Normal 4 2 4 3 2 4 5" xfId="4289" xr:uid="{00000000-0005-0000-0000-0000C40E0000}"/>
    <cellStyle name="Normal 4 2 4 3 2 5" xfId="4290" xr:uid="{00000000-0005-0000-0000-0000C50E0000}"/>
    <cellStyle name="Normal 4 2 4 3 2 5 2" xfId="4291" xr:uid="{00000000-0005-0000-0000-0000C60E0000}"/>
    <cellStyle name="Normal 4 2 4 3 2 5 3" xfId="4292" xr:uid="{00000000-0005-0000-0000-0000C70E0000}"/>
    <cellStyle name="Normal 4 2 4 3 2 6" xfId="4293" xr:uid="{00000000-0005-0000-0000-0000C80E0000}"/>
    <cellStyle name="Normal 4 2 4 3 2 7" xfId="4294" xr:uid="{00000000-0005-0000-0000-0000C90E0000}"/>
    <cellStyle name="Normal 4 2 4 3 2 8" xfId="4295" xr:uid="{00000000-0005-0000-0000-0000CA0E0000}"/>
    <cellStyle name="Normal 4 2 4 3 3" xfId="4296" xr:uid="{00000000-0005-0000-0000-0000CB0E0000}"/>
    <cellStyle name="Normal 4 2 4 3 3 2" xfId="4297" xr:uid="{00000000-0005-0000-0000-0000CC0E0000}"/>
    <cellStyle name="Normal 4 2 4 3 3 2 2" xfId="4298" xr:uid="{00000000-0005-0000-0000-0000CD0E0000}"/>
    <cellStyle name="Normal 4 2 4 3 3 2 2 2" xfId="4299" xr:uid="{00000000-0005-0000-0000-0000CE0E0000}"/>
    <cellStyle name="Normal 4 2 4 3 3 2 2 3" xfId="4300" xr:uid="{00000000-0005-0000-0000-0000CF0E0000}"/>
    <cellStyle name="Normal 4 2 4 3 3 2 3" xfId="4301" xr:uid="{00000000-0005-0000-0000-0000D00E0000}"/>
    <cellStyle name="Normal 4 2 4 3 3 2 4" xfId="4302" xr:uid="{00000000-0005-0000-0000-0000D10E0000}"/>
    <cellStyle name="Normal 4 2 4 3 3 2 5" xfId="4303" xr:uid="{00000000-0005-0000-0000-0000D20E0000}"/>
    <cellStyle name="Normal 4 2 4 3 3 3" xfId="4304" xr:uid="{00000000-0005-0000-0000-0000D30E0000}"/>
    <cellStyle name="Normal 4 2 4 3 3 3 2" xfId="4305" xr:uid="{00000000-0005-0000-0000-0000D40E0000}"/>
    <cellStyle name="Normal 4 2 4 3 3 3 2 2" xfId="4306" xr:uid="{00000000-0005-0000-0000-0000D50E0000}"/>
    <cellStyle name="Normal 4 2 4 3 3 3 2 3" xfId="4307" xr:uid="{00000000-0005-0000-0000-0000D60E0000}"/>
    <cellStyle name="Normal 4 2 4 3 3 3 3" xfId="4308" xr:uid="{00000000-0005-0000-0000-0000D70E0000}"/>
    <cellStyle name="Normal 4 2 4 3 3 3 4" xfId="4309" xr:uid="{00000000-0005-0000-0000-0000D80E0000}"/>
    <cellStyle name="Normal 4 2 4 3 3 3 5" xfId="4310" xr:uid="{00000000-0005-0000-0000-0000D90E0000}"/>
    <cellStyle name="Normal 4 2 4 3 3 4" xfId="4311" xr:uid="{00000000-0005-0000-0000-0000DA0E0000}"/>
    <cellStyle name="Normal 4 2 4 3 3 4 2" xfId="4312" xr:uid="{00000000-0005-0000-0000-0000DB0E0000}"/>
    <cellStyle name="Normal 4 2 4 3 3 4 3" xfId="4313" xr:uid="{00000000-0005-0000-0000-0000DC0E0000}"/>
    <cellStyle name="Normal 4 2 4 3 3 5" xfId="4314" xr:uid="{00000000-0005-0000-0000-0000DD0E0000}"/>
    <cellStyle name="Normal 4 2 4 3 3 6" xfId="4315" xr:uid="{00000000-0005-0000-0000-0000DE0E0000}"/>
    <cellStyle name="Normal 4 2 4 3 3 7" xfId="4316" xr:uid="{00000000-0005-0000-0000-0000DF0E0000}"/>
    <cellStyle name="Normal 4 2 4 3 4" xfId="4317" xr:uid="{00000000-0005-0000-0000-0000E00E0000}"/>
    <cellStyle name="Normal 4 2 4 3 4 2" xfId="4318" xr:uid="{00000000-0005-0000-0000-0000E10E0000}"/>
    <cellStyle name="Normal 4 2 4 3 4 2 2" xfId="4319" xr:uid="{00000000-0005-0000-0000-0000E20E0000}"/>
    <cellStyle name="Normal 4 2 4 3 4 2 3" xfId="4320" xr:uid="{00000000-0005-0000-0000-0000E30E0000}"/>
    <cellStyle name="Normal 4 2 4 3 4 3" xfId="4321" xr:uid="{00000000-0005-0000-0000-0000E40E0000}"/>
    <cellStyle name="Normal 4 2 4 3 4 4" xfId="4322" xr:uid="{00000000-0005-0000-0000-0000E50E0000}"/>
    <cellStyle name="Normal 4 2 4 3 4 5" xfId="4323" xr:uid="{00000000-0005-0000-0000-0000E60E0000}"/>
    <cellStyle name="Normal 4 2 4 3 5" xfId="4324" xr:uid="{00000000-0005-0000-0000-0000E70E0000}"/>
    <cellStyle name="Normal 4 2 4 3 5 2" xfId="4325" xr:uid="{00000000-0005-0000-0000-0000E80E0000}"/>
    <cellStyle name="Normal 4 2 4 3 5 2 2" xfId="4326" xr:uid="{00000000-0005-0000-0000-0000E90E0000}"/>
    <cellStyle name="Normal 4 2 4 3 5 2 3" xfId="4327" xr:uid="{00000000-0005-0000-0000-0000EA0E0000}"/>
    <cellStyle name="Normal 4 2 4 3 5 3" xfId="4328" xr:uid="{00000000-0005-0000-0000-0000EB0E0000}"/>
    <cellStyle name="Normal 4 2 4 3 5 4" xfId="4329" xr:uid="{00000000-0005-0000-0000-0000EC0E0000}"/>
    <cellStyle name="Normal 4 2 4 3 5 5" xfId="4330" xr:uid="{00000000-0005-0000-0000-0000ED0E0000}"/>
    <cellStyle name="Normal 4 2 4 3 6" xfId="4331" xr:uid="{00000000-0005-0000-0000-0000EE0E0000}"/>
    <cellStyle name="Normal 4 2 4 3 6 2" xfId="4332" xr:uid="{00000000-0005-0000-0000-0000EF0E0000}"/>
    <cellStyle name="Normal 4 2 4 3 6 3" xfId="4333" xr:uid="{00000000-0005-0000-0000-0000F00E0000}"/>
    <cellStyle name="Normal 4 2 4 3 7" xfId="4334" xr:uid="{00000000-0005-0000-0000-0000F10E0000}"/>
    <cellStyle name="Normal 4 2 4 3 8" xfId="4335" xr:uid="{00000000-0005-0000-0000-0000F20E0000}"/>
    <cellStyle name="Normal 4 2 4 3 9" xfId="4336" xr:uid="{00000000-0005-0000-0000-0000F30E0000}"/>
    <cellStyle name="Normal 4 2 4 4" xfId="4337" xr:uid="{00000000-0005-0000-0000-0000F40E0000}"/>
    <cellStyle name="Normal 4 2 4 4 2" xfId="4338" xr:uid="{00000000-0005-0000-0000-0000F50E0000}"/>
    <cellStyle name="Normal 4 2 4 4 2 2" xfId="4339" xr:uid="{00000000-0005-0000-0000-0000F60E0000}"/>
    <cellStyle name="Normal 4 2 4 4 2 2 2" xfId="4340" xr:uid="{00000000-0005-0000-0000-0000F70E0000}"/>
    <cellStyle name="Normal 4 2 4 4 2 2 2 2" xfId="4341" xr:uid="{00000000-0005-0000-0000-0000F80E0000}"/>
    <cellStyle name="Normal 4 2 4 4 2 2 2 2 2" xfId="4342" xr:uid="{00000000-0005-0000-0000-0000F90E0000}"/>
    <cellStyle name="Normal 4 2 4 4 2 2 2 2 3" xfId="4343" xr:uid="{00000000-0005-0000-0000-0000FA0E0000}"/>
    <cellStyle name="Normal 4 2 4 4 2 2 2 3" xfId="4344" xr:uid="{00000000-0005-0000-0000-0000FB0E0000}"/>
    <cellStyle name="Normal 4 2 4 4 2 2 2 4" xfId="4345" xr:uid="{00000000-0005-0000-0000-0000FC0E0000}"/>
    <cellStyle name="Normal 4 2 4 4 2 2 2 5" xfId="4346" xr:uid="{00000000-0005-0000-0000-0000FD0E0000}"/>
    <cellStyle name="Normal 4 2 4 4 2 2 3" xfId="4347" xr:uid="{00000000-0005-0000-0000-0000FE0E0000}"/>
    <cellStyle name="Normal 4 2 4 4 2 2 3 2" xfId="4348" xr:uid="{00000000-0005-0000-0000-0000FF0E0000}"/>
    <cellStyle name="Normal 4 2 4 4 2 2 3 2 2" xfId="4349" xr:uid="{00000000-0005-0000-0000-0000000F0000}"/>
    <cellStyle name="Normal 4 2 4 4 2 2 3 2 3" xfId="4350" xr:uid="{00000000-0005-0000-0000-0000010F0000}"/>
    <cellStyle name="Normal 4 2 4 4 2 2 3 3" xfId="4351" xr:uid="{00000000-0005-0000-0000-0000020F0000}"/>
    <cellStyle name="Normal 4 2 4 4 2 2 3 4" xfId="4352" xr:uid="{00000000-0005-0000-0000-0000030F0000}"/>
    <cellStyle name="Normal 4 2 4 4 2 2 3 5" xfId="4353" xr:uid="{00000000-0005-0000-0000-0000040F0000}"/>
    <cellStyle name="Normal 4 2 4 4 2 2 4" xfId="4354" xr:uid="{00000000-0005-0000-0000-0000050F0000}"/>
    <cellStyle name="Normal 4 2 4 4 2 2 4 2" xfId="4355" xr:uid="{00000000-0005-0000-0000-0000060F0000}"/>
    <cellStyle name="Normal 4 2 4 4 2 2 4 3" xfId="4356" xr:uid="{00000000-0005-0000-0000-0000070F0000}"/>
    <cellStyle name="Normal 4 2 4 4 2 2 5" xfId="4357" xr:uid="{00000000-0005-0000-0000-0000080F0000}"/>
    <cellStyle name="Normal 4 2 4 4 2 2 6" xfId="4358" xr:uid="{00000000-0005-0000-0000-0000090F0000}"/>
    <cellStyle name="Normal 4 2 4 4 2 2 7" xfId="4359" xr:uid="{00000000-0005-0000-0000-00000A0F0000}"/>
    <cellStyle name="Normal 4 2 4 4 2 3" xfId="4360" xr:uid="{00000000-0005-0000-0000-00000B0F0000}"/>
    <cellStyle name="Normal 4 2 4 4 2 3 2" xfId="4361" xr:uid="{00000000-0005-0000-0000-00000C0F0000}"/>
    <cellStyle name="Normal 4 2 4 4 2 3 2 2" xfId="4362" xr:uid="{00000000-0005-0000-0000-00000D0F0000}"/>
    <cellStyle name="Normal 4 2 4 4 2 3 2 3" xfId="4363" xr:uid="{00000000-0005-0000-0000-00000E0F0000}"/>
    <cellStyle name="Normal 4 2 4 4 2 3 3" xfId="4364" xr:uid="{00000000-0005-0000-0000-00000F0F0000}"/>
    <cellStyle name="Normal 4 2 4 4 2 3 4" xfId="4365" xr:uid="{00000000-0005-0000-0000-0000100F0000}"/>
    <cellStyle name="Normal 4 2 4 4 2 3 5" xfId="4366" xr:uid="{00000000-0005-0000-0000-0000110F0000}"/>
    <cellStyle name="Normal 4 2 4 4 2 4" xfId="4367" xr:uid="{00000000-0005-0000-0000-0000120F0000}"/>
    <cellStyle name="Normal 4 2 4 4 2 4 2" xfId="4368" xr:uid="{00000000-0005-0000-0000-0000130F0000}"/>
    <cellStyle name="Normal 4 2 4 4 2 4 2 2" xfId="4369" xr:uid="{00000000-0005-0000-0000-0000140F0000}"/>
    <cellStyle name="Normal 4 2 4 4 2 4 2 3" xfId="4370" xr:uid="{00000000-0005-0000-0000-0000150F0000}"/>
    <cellStyle name="Normal 4 2 4 4 2 4 3" xfId="4371" xr:uid="{00000000-0005-0000-0000-0000160F0000}"/>
    <cellStyle name="Normal 4 2 4 4 2 4 4" xfId="4372" xr:uid="{00000000-0005-0000-0000-0000170F0000}"/>
    <cellStyle name="Normal 4 2 4 4 2 4 5" xfId="4373" xr:uid="{00000000-0005-0000-0000-0000180F0000}"/>
    <cellStyle name="Normal 4 2 4 4 2 5" xfId="4374" xr:uid="{00000000-0005-0000-0000-0000190F0000}"/>
    <cellStyle name="Normal 4 2 4 4 2 5 2" xfId="4375" xr:uid="{00000000-0005-0000-0000-00001A0F0000}"/>
    <cellStyle name="Normal 4 2 4 4 2 5 3" xfId="4376" xr:uid="{00000000-0005-0000-0000-00001B0F0000}"/>
    <cellStyle name="Normal 4 2 4 4 2 6" xfId="4377" xr:uid="{00000000-0005-0000-0000-00001C0F0000}"/>
    <cellStyle name="Normal 4 2 4 4 2 7" xfId="4378" xr:uid="{00000000-0005-0000-0000-00001D0F0000}"/>
    <cellStyle name="Normal 4 2 4 4 2 8" xfId="4379" xr:uid="{00000000-0005-0000-0000-00001E0F0000}"/>
    <cellStyle name="Normal 4 2 4 4 3" xfId="4380" xr:uid="{00000000-0005-0000-0000-00001F0F0000}"/>
    <cellStyle name="Normal 4 2 4 4 3 2" xfId="4381" xr:uid="{00000000-0005-0000-0000-0000200F0000}"/>
    <cellStyle name="Normal 4 2 4 4 3 2 2" xfId="4382" xr:uid="{00000000-0005-0000-0000-0000210F0000}"/>
    <cellStyle name="Normal 4 2 4 4 3 2 2 2" xfId="4383" xr:uid="{00000000-0005-0000-0000-0000220F0000}"/>
    <cellStyle name="Normal 4 2 4 4 3 2 2 3" xfId="4384" xr:uid="{00000000-0005-0000-0000-0000230F0000}"/>
    <cellStyle name="Normal 4 2 4 4 3 2 3" xfId="4385" xr:uid="{00000000-0005-0000-0000-0000240F0000}"/>
    <cellStyle name="Normal 4 2 4 4 3 2 4" xfId="4386" xr:uid="{00000000-0005-0000-0000-0000250F0000}"/>
    <cellStyle name="Normal 4 2 4 4 3 2 5" xfId="4387" xr:uid="{00000000-0005-0000-0000-0000260F0000}"/>
    <cellStyle name="Normal 4 2 4 4 3 3" xfId="4388" xr:uid="{00000000-0005-0000-0000-0000270F0000}"/>
    <cellStyle name="Normal 4 2 4 4 3 3 2" xfId="4389" xr:uid="{00000000-0005-0000-0000-0000280F0000}"/>
    <cellStyle name="Normal 4 2 4 4 3 3 2 2" xfId="4390" xr:uid="{00000000-0005-0000-0000-0000290F0000}"/>
    <cellStyle name="Normal 4 2 4 4 3 3 2 3" xfId="4391" xr:uid="{00000000-0005-0000-0000-00002A0F0000}"/>
    <cellStyle name="Normal 4 2 4 4 3 3 3" xfId="4392" xr:uid="{00000000-0005-0000-0000-00002B0F0000}"/>
    <cellStyle name="Normal 4 2 4 4 3 3 4" xfId="4393" xr:uid="{00000000-0005-0000-0000-00002C0F0000}"/>
    <cellStyle name="Normal 4 2 4 4 3 3 5" xfId="4394" xr:uid="{00000000-0005-0000-0000-00002D0F0000}"/>
    <cellStyle name="Normal 4 2 4 4 3 4" xfId="4395" xr:uid="{00000000-0005-0000-0000-00002E0F0000}"/>
    <cellStyle name="Normal 4 2 4 4 3 4 2" xfId="4396" xr:uid="{00000000-0005-0000-0000-00002F0F0000}"/>
    <cellStyle name="Normal 4 2 4 4 3 4 3" xfId="4397" xr:uid="{00000000-0005-0000-0000-0000300F0000}"/>
    <cellStyle name="Normal 4 2 4 4 3 5" xfId="4398" xr:uid="{00000000-0005-0000-0000-0000310F0000}"/>
    <cellStyle name="Normal 4 2 4 4 3 6" xfId="4399" xr:uid="{00000000-0005-0000-0000-0000320F0000}"/>
    <cellStyle name="Normal 4 2 4 4 3 7" xfId="4400" xr:uid="{00000000-0005-0000-0000-0000330F0000}"/>
    <cellStyle name="Normal 4 2 4 4 4" xfId="4401" xr:uid="{00000000-0005-0000-0000-0000340F0000}"/>
    <cellStyle name="Normal 4 2 4 4 4 2" xfId="4402" xr:uid="{00000000-0005-0000-0000-0000350F0000}"/>
    <cellStyle name="Normal 4 2 4 4 4 2 2" xfId="4403" xr:uid="{00000000-0005-0000-0000-0000360F0000}"/>
    <cellStyle name="Normal 4 2 4 4 4 2 3" xfId="4404" xr:uid="{00000000-0005-0000-0000-0000370F0000}"/>
    <cellStyle name="Normal 4 2 4 4 4 3" xfId="4405" xr:uid="{00000000-0005-0000-0000-0000380F0000}"/>
    <cellStyle name="Normal 4 2 4 4 4 4" xfId="4406" xr:uid="{00000000-0005-0000-0000-0000390F0000}"/>
    <cellStyle name="Normal 4 2 4 4 4 5" xfId="4407" xr:uid="{00000000-0005-0000-0000-00003A0F0000}"/>
    <cellStyle name="Normal 4 2 4 4 5" xfId="4408" xr:uid="{00000000-0005-0000-0000-00003B0F0000}"/>
    <cellStyle name="Normal 4 2 4 4 5 2" xfId="4409" xr:uid="{00000000-0005-0000-0000-00003C0F0000}"/>
    <cellStyle name="Normal 4 2 4 4 5 2 2" xfId="4410" xr:uid="{00000000-0005-0000-0000-00003D0F0000}"/>
    <cellStyle name="Normal 4 2 4 4 5 2 3" xfId="4411" xr:uid="{00000000-0005-0000-0000-00003E0F0000}"/>
    <cellStyle name="Normal 4 2 4 4 5 3" xfId="4412" xr:uid="{00000000-0005-0000-0000-00003F0F0000}"/>
    <cellStyle name="Normal 4 2 4 4 5 4" xfId="4413" xr:uid="{00000000-0005-0000-0000-0000400F0000}"/>
    <cellStyle name="Normal 4 2 4 4 5 5" xfId="4414" xr:uid="{00000000-0005-0000-0000-0000410F0000}"/>
    <cellStyle name="Normal 4 2 4 4 6" xfId="4415" xr:uid="{00000000-0005-0000-0000-0000420F0000}"/>
    <cellStyle name="Normal 4 2 4 4 6 2" xfId="4416" xr:uid="{00000000-0005-0000-0000-0000430F0000}"/>
    <cellStyle name="Normal 4 2 4 4 6 3" xfId="4417" xr:uid="{00000000-0005-0000-0000-0000440F0000}"/>
    <cellStyle name="Normal 4 2 4 4 7" xfId="4418" xr:uid="{00000000-0005-0000-0000-0000450F0000}"/>
    <cellStyle name="Normal 4 2 4 4 8" xfId="4419" xr:uid="{00000000-0005-0000-0000-0000460F0000}"/>
    <cellStyle name="Normal 4 2 4 4 9" xfId="4420" xr:uid="{00000000-0005-0000-0000-0000470F0000}"/>
    <cellStyle name="Normal 4 2 4 5" xfId="4421" xr:uid="{00000000-0005-0000-0000-0000480F0000}"/>
    <cellStyle name="Normal 4 2 4 5 2" xfId="4422" xr:uid="{00000000-0005-0000-0000-0000490F0000}"/>
    <cellStyle name="Normal 4 2 4 5 2 2" xfId="4423" xr:uid="{00000000-0005-0000-0000-00004A0F0000}"/>
    <cellStyle name="Normal 4 2 4 5 2 2 2" xfId="4424" xr:uid="{00000000-0005-0000-0000-00004B0F0000}"/>
    <cellStyle name="Normal 4 2 4 5 2 2 2 2" xfId="4425" xr:uid="{00000000-0005-0000-0000-00004C0F0000}"/>
    <cellStyle name="Normal 4 2 4 5 2 2 2 3" xfId="4426" xr:uid="{00000000-0005-0000-0000-00004D0F0000}"/>
    <cellStyle name="Normal 4 2 4 5 2 2 3" xfId="4427" xr:uid="{00000000-0005-0000-0000-00004E0F0000}"/>
    <cellStyle name="Normal 4 2 4 5 2 2 4" xfId="4428" xr:uid="{00000000-0005-0000-0000-00004F0F0000}"/>
    <cellStyle name="Normal 4 2 4 5 2 2 5" xfId="4429" xr:uid="{00000000-0005-0000-0000-0000500F0000}"/>
    <cellStyle name="Normal 4 2 4 5 2 3" xfId="4430" xr:uid="{00000000-0005-0000-0000-0000510F0000}"/>
    <cellStyle name="Normal 4 2 4 5 2 3 2" xfId="4431" xr:uid="{00000000-0005-0000-0000-0000520F0000}"/>
    <cellStyle name="Normal 4 2 4 5 2 3 2 2" xfId="4432" xr:uid="{00000000-0005-0000-0000-0000530F0000}"/>
    <cellStyle name="Normal 4 2 4 5 2 3 2 3" xfId="4433" xr:uid="{00000000-0005-0000-0000-0000540F0000}"/>
    <cellStyle name="Normal 4 2 4 5 2 3 3" xfId="4434" xr:uid="{00000000-0005-0000-0000-0000550F0000}"/>
    <cellStyle name="Normal 4 2 4 5 2 3 4" xfId="4435" xr:uid="{00000000-0005-0000-0000-0000560F0000}"/>
    <cellStyle name="Normal 4 2 4 5 2 3 5" xfId="4436" xr:uid="{00000000-0005-0000-0000-0000570F0000}"/>
    <cellStyle name="Normal 4 2 4 5 2 4" xfId="4437" xr:uid="{00000000-0005-0000-0000-0000580F0000}"/>
    <cellStyle name="Normal 4 2 4 5 2 4 2" xfId="4438" xr:uid="{00000000-0005-0000-0000-0000590F0000}"/>
    <cellStyle name="Normal 4 2 4 5 2 4 3" xfId="4439" xr:uid="{00000000-0005-0000-0000-00005A0F0000}"/>
    <cellStyle name="Normal 4 2 4 5 2 5" xfId="4440" xr:uid="{00000000-0005-0000-0000-00005B0F0000}"/>
    <cellStyle name="Normal 4 2 4 5 2 6" xfId="4441" xr:uid="{00000000-0005-0000-0000-00005C0F0000}"/>
    <cellStyle name="Normal 4 2 4 5 2 7" xfId="4442" xr:uid="{00000000-0005-0000-0000-00005D0F0000}"/>
    <cellStyle name="Normal 4 2 4 5 3" xfId="4443" xr:uid="{00000000-0005-0000-0000-00005E0F0000}"/>
    <cellStyle name="Normal 4 2 4 5 3 2" xfId="4444" xr:uid="{00000000-0005-0000-0000-00005F0F0000}"/>
    <cellStyle name="Normal 4 2 4 5 3 2 2" xfId="4445" xr:uid="{00000000-0005-0000-0000-0000600F0000}"/>
    <cellStyle name="Normal 4 2 4 5 3 2 3" xfId="4446" xr:uid="{00000000-0005-0000-0000-0000610F0000}"/>
    <cellStyle name="Normal 4 2 4 5 3 3" xfId="4447" xr:uid="{00000000-0005-0000-0000-0000620F0000}"/>
    <cellStyle name="Normal 4 2 4 5 3 4" xfId="4448" xr:uid="{00000000-0005-0000-0000-0000630F0000}"/>
    <cellStyle name="Normal 4 2 4 5 3 5" xfId="4449" xr:uid="{00000000-0005-0000-0000-0000640F0000}"/>
    <cellStyle name="Normal 4 2 4 5 4" xfId="4450" xr:uid="{00000000-0005-0000-0000-0000650F0000}"/>
    <cellStyle name="Normal 4 2 4 5 4 2" xfId="4451" xr:uid="{00000000-0005-0000-0000-0000660F0000}"/>
    <cellStyle name="Normal 4 2 4 5 4 2 2" xfId="4452" xr:uid="{00000000-0005-0000-0000-0000670F0000}"/>
    <cellStyle name="Normal 4 2 4 5 4 2 3" xfId="4453" xr:uid="{00000000-0005-0000-0000-0000680F0000}"/>
    <cellStyle name="Normal 4 2 4 5 4 3" xfId="4454" xr:uid="{00000000-0005-0000-0000-0000690F0000}"/>
    <cellStyle name="Normal 4 2 4 5 4 4" xfId="4455" xr:uid="{00000000-0005-0000-0000-00006A0F0000}"/>
    <cellStyle name="Normal 4 2 4 5 4 5" xfId="4456" xr:uid="{00000000-0005-0000-0000-00006B0F0000}"/>
    <cellStyle name="Normal 4 2 4 5 5" xfId="4457" xr:uid="{00000000-0005-0000-0000-00006C0F0000}"/>
    <cellStyle name="Normal 4 2 4 5 5 2" xfId="4458" xr:uid="{00000000-0005-0000-0000-00006D0F0000}"/>
    <cellStyle name="Normal 4 2 4 5 5 3" xfId="4459" xr:uid="{00000000-0005-0000-0000-00006E0F0000}"/>
    <cellStyle name="Normal 4 2 4 5 6" xfId="4460" xr:uid="{00000000-0005-0000-0000-00006F0F0000}"/>
    <cellStyle name="Normal 4 2 4 5 7" xfId="4461" xr:uid="{00000000-0005-0000-0000-0000700F0000}"/>
    <cellStyle name="Normal 4 2 4 5 8" xfId="4462" xr:uid="{00000000-0005-0000-0000-0000710F0000}"/>
    <cellStyle name="Normal 4 2 4 6" xfId="4463" xr:uid="{00000000-0005-0000-0000-0000720F0000}"/>
    <cellStyle name="Normal 4 2 4 6 2" xfId="4464" xr:uid="{00000000-0005-0000-0000-0000730F0000}"/>
    <cellStyle name="Normal 4 2 4 6 2 2" xfId="4465" xr:uid="{00000000-0005-0000-0000-0000740F0000}"/>
    <cellStyle name="Normal 4 2 4 6 2 2 2" xfId="4466" xr:uid="{00000000-0005-0000-0000-0000750F0000}"/>
    <cellStyle name="Normal 4 2 4 6 2 2 3" xfId="4467" xr:uid="{00000000-0005-0000-0000-0000760F0000}"/>
    <cellStyle name="Normal 4 2 4 6 2 3" xfId="4468" xr:uid="{00000000-0005-0000-0000-0000770F0000}"/>
    <cellStyle name="Normal 4 2 4 6 2 4" xfId="4469" xr:uid="{00000000-0005-0000-0000-0000780F0000}"/>
    <cellStyle name="Normal 4 2 4 6 2 5" xfId="4470" xr:uid="{00000000-0005-0000-0000-0000790F0000}"/>
    <cellStyle name="Normal 4 2 4 6 3" xfId="4471" xr:uid="{00000000-0005-0000-0000-00007A0F0000}"/>
    <cellStyle name="Normal 4 2 4 6 3 2" xfId="4472" xr:uid="{00000000-0005-0000-0000-00007B0F0000}"/>
    <cellStyle name="Normal 4 2 4 6 3 2 2" xfId="4473" xr:uid="{00000000-0005-0000-0000-00007C0F0000}"/>
    <cellStyle name="Normal 4 2 4 6 3 2 3" xfId="4474" xr:uid="{00000000-0005-0000-0000-00007D0F0000}"/>
    <cellStyle name="Normal 4 2 4 6 3 3" xfId="4475" xr:uid="{00000000-0005-0000-0000-00007E0F0000}"/>
    <cellStyle name="Normal 4 2 4 6 3 4" xfId="4476" xr:uid="{00000000-0005-0000-0000-00007F0F0000}"/>
    <cellStyle name="Normal 4 2 4 6 3 5" xfId="4477" xr:uid="{00000000-0005-0000-0000-0000800F0000}"/>
    <cellStyle name="Normal 4 2 4 6 4" xfId="4478" xr:uid="{00000000-0005-0000-0000-0000810F0000}"/>
    <cellStyle name="Normal 4 2 4 6 4 2" xfId="4479" xr:uid="{00000000-0005-0000-0000-0000820F0000}"/>
    <cellStyle name="Normal 4 2 4 6 4 3" xfId="4480" xr:uid="{00000000-0005-0000-0000-0000830F0000}"/>
    <cellStyle name="Normal 4 2 4 6 5" xfId="4481" xr:uid="{00000000-0005-0000-0000-0000840F0000}"/>
    <cellStyle name="Normal 4 2 4 6 6" xfId="4482" xr:uid="{00000000-0005-0000-0000-0000850F0000}"/>
    <cellStyle name="Normal 4 2 4 6 7" xfId="4483" xr:uid="{00000000-0005-0000-0000-0000860F0000}"/>
    <cellStyle name="Normal 4 2 4 7" xfId="4484" xr:uid="{00000000-0005-0000-0000-0000870F0000}"/>
    <cellStyle name="Normal 4 2 4 7 2" xfId="4485" xr:uid="{00000000-0005-0000-0000-0000880F0000}"/>
    <cellStyle name="Normal 4 2 4 7 2 2" xfId="4486" xr:uid="{00000000-0005-0000-0000-0000890F0000}"/>
    <cellStyle name="Normal 4 2 4 7 2 3" xfId="4487" xr:uid="{00000000-0005-0000-0000-00008A0F0000}"/>
    <cellStyle name="Normal 4 2 4 7 3" xfId="4488" xr:uid="{00000000-0005-0000-0000-00008B0F0000}"/>
    <cellStyle name="Normal 4 2 4 7 4" xfId="4489" xr:uid="{00000000-0005-0000-0000-00008C0F0000}"/>
    <cellStyle name="Normal 4 2 4 7 5" xfId="4490" xr:uid="{00000000-0005-0000-0000-00008D0F0000}"/>
    <cellStyle name="Normal 4 2 4 8" xfId="4491" xr:uid="{00000000-0005-0000-0000-00008E0F0000}"/>
    <cellStyle name="Normal 4 2 4 8 2" xfId="4492" xr:uid="{00000000-0005-0000-0000-00008F0F0000}"/>
    <cellStyle name="Normal 4 2 4 8 2 2" xfId="4493" xr:uid="{00000000-0005-0000-0000-0000900F0000}"/>
    <cellStyle name="Normal 4 2 4 8 2 3" xfId="4494" xr:uid="{00000000-0005-0000-0000-0000910F0000}"/>
    <cellStyle name="Normal 4 2 4 8 3" xfId="4495" xr:uid="{00000000-0005-0000-0000-0000920F0000}"/>
    <cellStyle name="Normal 4 2 4 8 4" xfId="4496" xr:uid="{00000000-0005-0000-0000-0000930F0000}"/>
    <cellStyle name="Normal 4 2 4 8 5" xfId="4497" xr:uid="{00000000-0005-0000-0000-0000940F0000}"/>
    <cellStyle name="Normal 4 2 4 9" xfId="4498" xr:uid="{00000000-0005-0000-0000-0000950F0000}"/>
    <cellStyle name="Normal 4 2 4 9 2" xfId="4499" xr:uid="{00000000-0005-0000-0000-0000960F0000}"/>
    <cellStyle name="Normal 4 2 4 9 3" xfId="4500" xr:uid="{00000000-0005-0000-0000-0000970F0000}"/>
    <cellStyle name="Normal 4 2 5" xfId="4501" xr:uid="{00000000-0005-0000-0000-0000980F0000}"/>
    <cellStyle name="Normal 4 2 5 2" xfId="4502" xr:uid="{00000000-0005-0000-0000-0000990F0000}"/>
    <cellStyle name="Normal 4 2 5 2 2" xfId="4503" xr:uid="{00000000-0005-0000-0000-00009A0F0000}"/>
    <cellStyle name="Normal 4 2 5 2 2 2" xfId="4504" xr:uid="{00000000-0005-0000-0000-00009B0F0000}"/>
    <cellStyle name="Normal 4 2 5 2 2 2 2" xfId="4505" xr:uid="{00000000-0005-0000-0000-00009C0F0000}"/>
    <cellStyle name="Normal 4 2 5 2 2 2 2 2" xfId="4506" xr:uid="{00000000-0005-0000-0000-00009D0F0000}"/>
    <cellStyle name="Normal 4 2 5 2 2 2 2 3" xfId="4507" xr:uid="{00000000-0005-0000-0000-00009E0F0000}"/>
    <cellStyle name="Normal 4 2 5 2 2 2 3" xfId="4508" xr:uid="{00000000-0005-0000-0000-00009F0F0000}"/>
    <cellStyle name="Normal 4 2 5 2 2 2 4" xfId="4509" xr:uid="{00000000-0005-0000-0000-0000A00F0000}"/>
    <cellStyle name="Normal 4 2 5 2 2 2 5" xfId="4510" xr:uid="{00000000-0005-0000-0000-0000A10F0000}"/>
    <cellStyle name="Normal 4 2 5 2 2 3" xfId="4511" xr:uid="{00000000-0005-0000-0000-0000A20F0000}"/>
    <cellStyle name="Normal 4 2 5 2 2 3 2" xfId="4512" xr:uid="{00000000-0005-0000-0000-0000A30F0000}"/>
    <cellStyle name="Normal 4 2 5 2 2 3 2 2" xfId="4513" xr:uid="{00000000-0005-0000-0000-0000A40F0000}"/>
    <cellStyle name="Normal 4 2 5 2 2 3 2 3" xfId="4514" xr:uid="{00000000-0005-0000-0000-0000A50F0000}"/>
    <cellStyle name="Normal 4 2 5 2 2 3 3" xfId="4515" xr:uid="{00000000-0005-0000-0000-0000A60F0000}"/>
    <cellStyle name="Normal 4 2 5 2 2 3 4" xfId="4516" xr:uid="{00000000-0005-0000-0000-0000A70F0000}"/>
    <cellStyle name="Normal 4 2 5 2 2 3 5" xfId="4517" xr:uid="{00000000-0005-0000-0000-0000A80F0000}"/>
    <cellStyle name="Normal 4 2 5 2 2 4" xfId="4518" xr:uid="{00000000-0005-0000-0000-0000A90F0000}"/>
    <cellStyle name="Normal 4 2 5 2 2 4 2" xfId="4519" xr:uid="{00000000-0005-0000-0000-0000AA0F0000}"/>
    <cellStyle name="Normal 4 2 5 2 2 4 3" xfId="4520" xr:uid="{00000000-0005-0000-0000-0000AB0F0000}"/>
    <cellStyle name="Normal 4 2 5 2 2 5" xfId="4521" xr:uid="{00000000-0005-0000-0000-0000AC0F0000}"/>
    <cellStyle name="Normal 4 2 5 2 2 6" xfId="4522" xr:uid="{00000000-0005-0000-0000-0000AD0F0000}"/>
    <cellStyle name="Normal 4 2 5 2 2 7" xfId="4523" xr:uid="{00000000-0005-0000-0000-0000AE0F0000}"/>
    <cellStyle name="Normal 4 2 5 2 3" xfId="4524" xr:uid="{00000000-0005-0000-0000-0000AF0F0000}"/>
    <cellStyle name="Normal 4 2 5 2 3 2" xfId="4525" xr:uid="{00000000-0005-0000-0000-0000B00F0000}"/>
    <cellStyle name="Normal 4 2 5 2 3 2 2" xfId="4526" xr:uid="{00000000-0005-0000-0000-0000B10F0000}"/>
    <cellStyle name="Normal 4 2 5 2 3 2 3" xfId="4527" xr:uid="{00000000-0005-0000-0000-0000B20F0000}"/>
    <cellStyle name="Normal 4 2 5 2 3 3" xfId="4528" xr:uid="{00000000-0005-0000-0000-0000B30F0000}"/>
    <cellStyle name="Normal 4 2 5 2 3 4" xfId="4529" xr:uid="{00000000-0005-0000-0000-0000B40F0000}"/>
    <cellStyle name="Normal 4 2 5 2 3 5" xfId="4530" xr:uid="{00000000-0005-0000-0000-0000B50F0000}"/>
    <cellStyle name="Normal 4 2 5 2 4" xfId="4531" xr:uid="{00000000-0005-0000-0000-0000B60F0000}"/>
    <cellStyle name="Normal 4 2 5 2 4 2" xfId="4532" xr:uid="{00000000-0005-0000-0000-0000B70F0000}"/>
    <cellStyle name="Normal 4 2 5 2 4 2 2" xfId="4533" xr:uid="{00000000-0005-0000-0000-0000B80F0000}"/>
    <cellStyle name="Normal 4 2 5 2 4 2 3" xfId="4534" xr:uid="{00000000-0005-0000-0000-0000B90F0000}"/>
    <cellStyle name="Normal 4 2 5 2 4 3" xfId="4535" xr:uid="{00000000-0005-0000-0000-0000BA0F0000}"/>
    <cellStyle name="Normal 4 2 5 2 4 4" xfId="4536" xr:uid="{00000000-0005-0000-0000-0000BB0F0000}"/>
    <cellStyle name="Normal 4 2 5 2 4 5" xfId="4537" xr:uid="{00000000-0005-0000-0000-0000BC0F0000}"/>
    <cellStyle name="Normal 4 2 5 2 5" xfId="4538" xr:uid="{00000000-0005-0000-0000-0000BD0F0000}"/>
    <cellStyle name="Normal 4 2 5 2 5 2" xfId="4539" xr:uid="{00000000-0005-0000-0000-0000BE0F0000}"/>
    <cellStyle name="Normal 4 2 5 2 5 3" xfId="4540" xr:uid="{00000000-0005-0000-0000-0000BF0F0000}"/>
    <cellStyle name="Normal 4 2 5 2 6" xfId="4541" xr:uid="{00000000-0005-0000-0000-0000C00F0000}"/>
    <cellStyle name="Normal 4 2 5 2 7" xfId="4542" xr:uid="{00000000-0005-0000-0000-0000C10F0000}"/>
    <cellStyle name="Normal 4 2 5 2 8" xfId="4543" xr:uid="{00000000-0005-0000-0000-0000C20F0000}"/>
    <cellStyle name="Normal 4 2 5 3" xfId="4544" xr:uid="{00000000-0005-0000-0000-0000C30F0000}"/>
    <cellStyle name="Normal 4 2 5 3 2" xfId="4545" xr:uid="{00000000-0005-0000-0000-0000C40F0000}"/>
    <cellStyle name="Normal 4 2 5 3 2 2" xfId="4546" xr:uid="{00000000-0005-0000-0000-0000C50F0000}"/>
    <cellStyle name="Normal 4 2 5 3 2 2 2" xfId="4547" xr:uid="{00000000-0005-0000-0000-0000C60F0000}"/>
    <cellStyle name="Normal 4 2 5 3 2 2 3" xfId="4548" xr:uid="{00000000-0005-0000-0000-0000C70F0000}"/>
    <cellStyle name="Normal 4 2 5 3 2 3" xfId="4549" xr:uid="{00000000-0005-0000-0000-0000C80F0000}"/>
    <cellStyle name="Normal 4 2 5 3 2 4" xfId="4550" xr:uid="{00000000-0005-0000-0000-0000C90F0000}"/>
    <cellStyle name="Normal 4 2 5 3 2 5" xfId="4551" xr:uid="{00000000-0005-0000-0000-0000CA0F0000}"/>
    <cellStyle name="Normal 4 2 5 3 3" xfId="4552" xr:uid="{00000000-0005-0000-0000-0000CB0F0000}"/>
    <cellStyle name="Normal 4 2 5 3 3 2" xfId="4553" xr:uid="{00000000-0005-0000-0000-0000CC0F0000}"/>
    <cellStyle name="Normal 4 2 5 3 3 2 2" xfId="4554" xr:uid="{00000000-0005-0000-0000-0000CD0F0000}"/>
    <cellStyle name="Normal 4 2 5 3 3 2 3" xfId="4555" xr:uid="{00000000-0005-0000-0000-0000CE0F0000}"/>
    <cellStyle name="Normal 4 2 5 3 3 3" xfId="4556" xr:uid="{00000000-0005-0000-0000-0000CF0F0000}"/>
    <cellStyle name="Normal 4 2 5 3 3 4" xfId="4557" xr:uid="{00000000-0005-0000-0000-0000D00F0000}"/>
    <cellStyle name="Normal 4 2 5 3 3 5" xfId="4558" xr:uid="{00000000-0005-0000-0000-0000D10F0000}"/>
    <cellStyle name="Normal 4 2 5 3 4" xfId="4559" xr:uid="{00000000-0005-0000-0000-0000D20F0000}"/>
    <cellStyle name="Normal 4 2 5 3 4 2" xfId="4560" xr:uid="{00000000-0005-0000-0000-0000D30F0000}"/>
    <cellStyle name="Normal 4 2 5 3 4 3" xfId="4561" xr:uid="{00000000-0005-0000-0000-0000D40F0000}"/>
    <cellStyle name="Normal 4 2 5 3 5" xfId="4562" xr:uid="{00000000-0005-0000-0000-0000D50F0000}"/>
    <cellStyle name="Normal 4 2 5 3 6" xfId="4563" xr:uid="{00000000-0005-0000-0000-0000D60F0000}"/>
    <cellStyle name="Normal 4 2 5 3 7" xfId="4564" xr:uid="{00000000-0005-0000-0000-0000D70F0000}"/>
    <cellStyle name="Normal 4 2 5 4" xfId="4565" xr:uid="{00000000-0005-0000-0000-0000D80F0000}"/>
    <cellStyle name="Normal 4 2 5 4 2" xfId="4566" xr:uid="{00000000-0005-0000-0000-0000D90F0000}"/>
    <cellStyle name="Normal 4 2 5 4 2 2" xfId="4567" xr:uid="{00000000-0005-0000-0000-0000DA0F0000}"/>
    <cellStyle name="Normal 4 2 5 4 2 3" xfId="4568" xr:uid="{00000000-0005-0000-0000-0000DB0F0000}"/>
    <cellStyle name="Normal 4 2 5 4 3" xfId="4569" xr:uid="{00000000-0005-0000-0000-0000DC0F0000}"/>
    <cellStyle name="Normal 4 2 5 4 4" xfId="4570" xr:uid="{00000000-0005-0000-0000-0000DD0F0000}"/>
    <cellStyle name="Normal 4 2 5 4 5" xfId="4571" xr:uid="{00000000-0005-0000-0000-0000DE0F0000}"/>
    <cellStyle name="Normal 4 2 5 5" xfId="4572" xr:uid="{00000000-0005-0000-0000-0000DF0F0000}"/>
    <cellStyle name="Normal 4 2 5 5 2" xfId="4573" xr:uid="{00000000-0005-0000-0000-0000E00F0000}"/>
    <cellStyle name="Normal 4 2 5 5 2 2" xfId="4574" xr:uid="{00000000-0005-0000-0000-0000E10F0000}"/>
    <cellStyle name="Normal 4 2 5 5 2 3" xfId="4575" xr:uid="{00000000-0005-0000-0000-0000E20F0000}"/>
    <cellStyle name="Normal 4 2 5 5 3" xfId="4576" xr:uid="{00000000-0005-0000-0000-0000E30F0000}"/>
    <cellStyle name="Normal 4 2 5 5 4" xfId="4577" xr:uid="{00000000-0005-0000-0000-0000E40F0000}"/>
    <cellStyle name="Normal 4 2 5 5 5" xfId="4578" xr:uid="{00000000-0005-0000-0000-0000E50F0000}"/>
    <cellStyle name="Normal 4 2 5 6" xfId="4579" xr:uid="{00000000-0005-0000-0000-0000E60F0000}"/>
    <cellStyle name="Normal 4 2 5 6 2" xfId="4580" xr:uid="{00000000-0005-0000-0000-0000E70F0000}"/>
    <cellStyle name="Normal 4 2 5 6 3" xfId="4581" xr:uid="{00000000-0005-0000-0000-0000E80F0000}"/>
    <cellStyle name="Normal 4 2 5 7" xfId="4582" xr:uid="{00000000-0005-0000-0000-0000E90F0000}"/>
    <cellStyle name="Normal 4 2 5 8" xfId="4583" xr:uid="{00000000-0005-0000-0000-0000EA0F0000}"/>
    <cellStyle name="Normal 4 2 5 9" xfId="4584" xr:uid="{00000000-0005-0000-0000-0000EB0F0000}"/>
    <cellStyle name="Normal 4 2 6" xfId="4585" xr:uid="{00000000-0005-0000-0000-0000EC0F0000}"/>
    <cellStyle name="Normal 4 2 6 2" xfId="4586" xr:uid="{00000000-0005-0000-0000-0000ED0F0000}"/>
    <cellStyle name="Normal 4 2 6 2 2" xfId="4587" xr:uid="{00000000-0005-0000-0000-0000EE0F0000}"/>
    <cellStyle name="Normal 4 2 6 2 2 2" xfId="4588" xr:uid="{00000000-0005-0000-0000-0000EF0F0000}"/>
    <cellStyle name="Normal 4 2 6 2 2 2 2" xfId="4589" xr:uid="{00000000-0005-0000-0000-0000F00F0000}"/>
    <cellStyle name="Normal 4 2 6 2 2 2 2 2" xfId="4590" xr:uid="{00000000-0005-0000-0000-0000F10F0000}"/>
    <cellStyle name="Normal 4 2 6 2 2 2 2 3" xfId="4591" xr:uid="{00000000-0005-0000-0000-0000F20F0000}"/>
    <cellStyle name="Normal 4 2 6 2 2 2 3" xfId="4592" xr:uid="{00000000-0005-0000-0000-0000F30F0000}"/>
    <cellStyle name="Normal 4 2 6 2 2 2 4" xfId="4593" xr:uid="{00000000-0005-0000-0000-0000F40F0000}"/>
    <cellStyle name="Normal 4 2 6 2 2 2 5" xfId="4594" xr:uid="{00000000-0005-0000-0000-0000F50F0000}"/>
    <cellStyle name="Normal 4 2 6 2 2 3" xfId="4595" xr:uid="{00000000-0005-0000-0000-0000F60F0000}"/>
    <cellStyle name="Normal 4 2 6 2 2 3 2" xfId="4596" xr:uid="{00000000-0005-0000-0000-0000F70F0000}"/>
    <cellStyle name="Normal 4 2 6 2 2 3 2 2" xfId="4597" xr:uid="{00000000-0005-0000-0000-0000F80F0000}"/>
    <cellStyle name="Normal 4 2 6 2 2 3 2 3" xfId="4598" xr:uid="{00000000-0005-0000-0000-0000F90F0000}"/>
    <cellStyle name="Normal 4 2 6 2 2 3 3" xfId="4599" xr:uid="{00000000-0005-0000-0000-0000FA0F0000}"/>
    <cellStyle name="Normal 4 2 6 2 2 3 4" xfId="4600" xr:uid="{00000000-0005-0000-0000-0000FB0F0000}"/>
    <cellStyle name="Normal 4 2 6 2 2 3 5" xfId="4601" xr:uid="{00000000-0005-0000-0000-0000FC0F0000}"/>
    <cellStyle name="Normal 4 2 6 2 2 4" xfId="4602" xr:uid="{00000000-0005-0000-0000-0000FD0F0000}"/>
    <cellStyle name="Normal 4 2 6 2 2 4 2" xfId="4603" xr:uid="{00000000-0005-0000-0000-0000FE0F0000}"/>
    <cellStyle name="Normal 4 2 6 2 2 4 3" xfId="4604" xr:uid="{00000000-0005-0000-0000-0000FF0F0000}"/>
    <cellStyle name="Normal 4 2 6 2 2 5" xfId="4605" xr:uid="{00000000-0005-0000-0000-000000100000}"/>
    <cellStyle name="Normal 4 2 6 2 2 6" xfId="4606" xr:uid="{00000000-0005-0000-0000-000001100000}"/>
    <cellStyle name="Normal 4 2 6 2 2 7" xfId="4607" xr:uid="{00000000-0005-0000-0000-000002100000}"/>
    <cellStyle name="Normal 4 2 6 2 3" xfId="4608" xr:uid="{00000000-0005-0000-0000-000003100000}"/>
    <cellStyle name="Normal 4 2 6 2 3 2" xfId="4609" xr:uid="{00000000-0005-0000-0000-000004100000}"/>
    <cellStyle name="Normal 4 2 6 2 3 2 2" xfId="4610" xr:uid="{00000000-0005-0000-0000-000005100000}"/>
    <cellStyle name="Normal 4 2 6 2 3 2 3" xfId="4611" xr:uid="{00000000-0005-0000-0000-000006100000}"/>
    <cellStyle name="Normal 4 2 6 2 3 3" xfId="4612" xr:uid="{00000000-0005-0000-0000-000007100000}"/>
    <cellStyle name="Normal 4 2 6 2 3 4" xfId="4613" xr:uid="{00000000-0005-0000-0000-000008100000}"/>
    <cellStyle name="Normal 4 2 6 2 3 5" xfId="4614" xr:uid="{00000000-0005-0000-0000-000009100000}"/>
    <cellStyle name="Normal 4 2 6 2 4" xfId="4615" xr:uid="{00000000-0005-0000-0000-00000A100000}"/>
    <cellStyle name="Normal 4 2 6 2 4 2" xfId="4616" xr:uid="{00000000-0005-0000-0000-00000B100000}"/>
    <cellStyle name="Normal 4 2 6 2 4 2 2" xfId="4617" xr:uid="{00000000-0005-0000-0000-00000C100000}"/>
    <cellStyle name="Normal 4 2 6 2 4 2 3" xfId="4618" xr:uid="{00000000-0005-0000-0000-00000D100000}"/>
    <cellStyle name="Normal 4 2 6 2 4 3" xfId="4619" xr:uid="{00000000-0005-0000-0000-00000E100000}"/>
    <cellStyle name="Normal 4 2 6 2 4 4" xfId="4620" xr:uid="{00000000-0005-0000-0000-00000F100000}"/>
    <cellStyle name="Normal 4 2 6 2 4 5" xfId="4621" xr:uid="{00000000-0005-0000-0000-000010100000}"/>
    <cellStyle name="Normal 4 2 6 2 5" xfId="4622" xr:uid="{00000000-0005-0000-0000-000011100000}"/>
    <cellStyle name="Normal 4 2 6 2 5 2" xfId="4623" xr:uid="{00000000-0005-0000-0000-000012100000}"/>
    <cellStyle name="Normal 4 2 6 2 5 3" xfId="4624" xr:uid="{00000000-0005-0000-0000-000013100000}"/>
    <cellStyle name="Normal 4 2 6 2 6" xfId="4625" xr:uid="{00000000-0005-0000-0000-000014100000}"/>
    <cellStyle name="Normal 4 2 6 2 7" xfId="4626" xr:uid="{00000000-0005-0000-0000-000015100000}"/>
    <cellStyle name="Normal 4 2 6 2 8" xfId="4627" xr:uid="{00000000-0005-0000-0000-000016100000}"/>
    <cellStyle name="Normal 4 2 6 3" xfId="4628" xr:uid="{00000000-0005-0000-0000-000017100000}"/>
    <cellStyle name="Normal 4 2 6 3 2" xfId="4629" xr:uid="{00000000-0005-0000-0000-000018100000}"/>
    <cellStyle name="Normal 4 2 6 3 2 2" xfId="4630" xr:uid="{00000000-0005-0000-0000-000019100000}"/>
    <cellStyle name="Normal 4 2 6 3 2 2 2" xfId="4631" xr:uid="{00000000-0005-0000-0000-00001A100000}"/>
    <cellStyle name="Normal 4 2 6 3 2 2 3" xfId="4632" xr:uid="{00000000-0005-0000-0000-00001B100000}"/>
    <cellStyle name="Normal 4 2 6 3 2 3" xfId="4633" xr:uid="{00000000-0005-0000-0000-00001C100000}"/>
    <cellStyle name="Normal 4 2 6 3 2 4" xfId="4634" xr:uid="{00000000-0005-0000-0000-00001D100000}"/>
    <cellStyle name="Normal 4 2 6 3 2 5" xfId="4635" xr:uid="{00000000-0005-0000-0000-00001E100000}"/>
    <cellStyle name="Normal 4 2 6 3 3" xfId="4636" xr:uid="{00000000-0005-0000-0000-00001F100000}"/>
    <cellStyle name="Normal 4 2 6 3 3 2" xfId="4637" xr:uid="{00000000-0005-0000-0000-000020100000}"/>
    <cellStyle name="Normal 4 2 6 3 3 2 2" xfId="4638" xr:uid="{00000000-0005-0000-0000-000021100000}"/>
    <cellStyle name="Normal 4 2 6 3 3 2 3" xfId="4639" xr:uid="{00000000-0005-0000-0000-000022100000}"/>
    <cellStyle name="Normal 4 2 6 3 3 3" xfId="4640" xr:uid="{00000000-0005-0000-0000-000023100000}"/>
    <cellStyle name="Normal 4 2 6 3 3 4" xfId="4641" xr:uid="{00000000-0005-0000-0000-000024100000}"/>
    <cellStyle name="Normal 4 2 6 3 3 5" xfId="4642" xr:uid="{00000000-0005-0000-0000-000025100000}"/>
    <cellStyle name="Normal 4 2 6 3 4" xfId="4643" xr:uid="{00000000-0005-0000-0000-000026100000}"/>
    <cellStyle name="Normal 4 2 6 3 4 2" xfId="4644" xr:uid="{00000000-0005-0000-0000-000027100000}"/>
    <cellStyle name="Normal 4 2 6 3 4 3" xfId="4645" xr:uid="{00000000-0005-0000-0000-000028100000}"/>
    <cellStyle name="Normal 4 2 6 3 5" xfId="4646" xr:uid="{00000000-0005-0000-0000-000029100000}"/>
    <cellStyle name="Normal 4 2 6 3 6" xfId="4647" xr:uid="{00000000-0005-0000-0000-00002A100000}"/>
    <cellStyle name="Normal 4 2 6 3 7" xfId="4648" xr:uid="{00000000-0005-0000-0000-00002B100000}"/>
    <cellStyle name="Normal 4 2 6 4" xfId="4649" xr:uid="{00000000-0005-0000-0000-00002C100000}"/>
    <cellStyle name="Normal 4 2 6 4 2" xfId="4650" xr:uid="{00000000-0005-0000-0000-00002D100000}"/>
    <cellStyle name="Normal 4 2 6 4 2 2" xfId="4651" xr:uid="{00000000-0005-0000-0000-00002E100000}"/>
    <cellStyle name="Normal 4 2 6 4 2 3" xfId="4652" xr:uid="{00000000-0005-0000-0000-00002F100000}"/>
    <cellStyle name="Normal 4 2 6 4 3" xfId="4653" xr:uid="{00000000-0005-0000-0000-000030100000}"/>
    <cellStyle name="Normal 4 2 6 4 4" xfId="4654" xr:uid="{00000000-0005-0000-0000-000031100000}"/>
    <cellStyle name="Normal 4 2 6 4 5" xfId="4655" xr:uid="{00000000-0005-0000-0000-000032100000}"/>
    <cellStyle name="Normal 4 2 6 5" xfId="4656" xr:uid="{00000000-0005-0000-0000-000033100000}"/>
    <cellStyle name="Normal 4 2 6 5 2" xfId="4657" xr:uid="{00000000-0005-0000-0000-000034100000}"/>
    <cellStyle name="Normal 4 2 6 5 2 2" xfId="4658" xr:uid="{00000000-0005-0000-0000-000035100000}"/>
    <cellStyle name="Normal 4 2 6 5 2 3" xfId="4659" xr:uid="{00000000-0005-0000-0000-000036100000}"/>
    <cellStyle name="Normal 4 2 6 5 3" xfId="4660" xr:uid="{00000000-0005-0000-0000-000037100000}"/>
    <cellStyle name="Normal 4 2 6 5 4" xfId="4661" xr:uid="{00000000-0005-0000-0000-000038100000}"/>
    <cellStyle name="Normal 4 2 6 5 5" xfId="4662" xr:uid="{00000000-0005-0000-0000-000039100000}"/>
    <cellStyle name="Normal 4 2 6 6" xfId="4663" xr:uid="{00000000-0005-0000-0000-00003A100000}"/>
    <cellStyle name="Normal 4 2 6 6 2" xfId="4664" xr:uid="{00000000-0005-0000-0000-00003B100000}"/>
    <cellStyle name="Normal 4 2 6 6 3" xfId="4665" xr:uid="{00000000-0005-0000-0000-00003C100000}"/>
    <cellStyle name="Normal 4 2 6 7" xfId="4666" xr:uid="{00000000-0005-0000-0000-00003D100000}"/>
    <cellStyle name="Normal 4 2 6 8" xfId="4667" xr:uid="{00000000-0005-0000-0000-00003E100000}"/>
    <cellStyle name="Normal 4 2 6 9" xfId="4668" xr:uid="{00000000-0005-0000-0000-00003F100000}"/>
    <cellStyle name="Normal 4 2 7" xfId="4669" xr:uid="{00000000-0005-0000-0000-000040100000}"/>
    <cellStyle name="Normal 4 2 7 2" xfId="4670" xr:uid="{00000000-0005-0000-0000-000041100000}"/>
    <cellStyle name="Normal 4 2 7 2 2" xfId="4671" xr:uid="{00000000-0005-0000-0000-000042100000}"/>
    <cellStyle name="Normal 4 2 7 2 2 2" xfId="4672" xr:uid="{00000000-0005-0000-0000-000043100000}"/>
    <cellStyle name="Normal 4 2 7 2 2 2 2" xfId="4673" xr:uid="{00000000-0005-0000-0000-000044100000}"/>
    <cellStyle name="Normal 4 2 7 2 2 2 2 2" xfId="4674" xr:uid="{00000000-0005-0000-0000-000045100000}"/>
    <cellStyle name="Normal 4 2 7 2 2 2 2 3" xfId="4675" xr:uid="{00000000-0005-0000-0000-000046100000}"/>
    <cellStyle name="Normal 4 2 7 2 2 2 3" xfId="4676" xr:uid="{00000000-0005-0000-0000-000047100000}"/>
    <cellStyle name="Normal 4 2 7 2 2 2 4" xfId="4677" xr:uid="{00000000-0005-0000-0000-000048100000}"/>
    <cellStyle name="Normal 4 2 7 2 2 2 5" xfId="4678" xr:uid="{00000000-0005-0000-0000-000049100000}"/>
    <cellStyle name="Normal 4 2 7 2 2 3" xfId="4679" xr:uid="{00000000-0005-0000-0000-00004A100000}"/>
    <cellStyle name="Normal 4 2 7 2 2 3 2" xfId="4680" xr:uid="{00000000-0005-0000-0000-00004B100000}"/>
    <cellStyle name="Normal 4 2 7 2 2 3 2 2" xfId="4681" xr:uid="{00000000-0005-0000-0000-00004C100000}"/>
    <cellStyle name="Normal 4 2 7 2 2 3 2 3" xfId="4682" xr:uid="{00000000-0005-0000-0000-00004D100000}"/>
    <cellStyle name="Normal 4 2 7 2 2 3 3" xfId="4683" xr:uid="{00000000-0005-0000-0000-00004E100000}"/>
    <cellStyle name="Normal 4 2 7 2 2 3 4" xfId="4684" xr:uid="{00000000-0005-0000-0000-00004F100000}"/>
    <cellStyle name="Normal 4 2 7 2 2 3 5" xfId="4685" xr:uid="{00000000-0005-0000-0000-000050100000}"/>
    <cellStyle name="Normal 4 2 7 2 2 4" xfId="4686" xr:uid="{00000000-0005-0000-0000-000051100000}"/>
    <cellStyle name="Normal 4 2 7 2 2 4 2" xfId="4687" xr:uid="{00000000-0005-0000-0000-000052100000}"/>
    <cellStyle name="Normal 4 2 7 2 2 4 3" xfId="4688" xr:uid="{00000000-0005-0000-0000-000053100000}"/>
    <cellStyle name="Normal 4 2 7 2 2 5" xfId="4689" xr:uid="{00000000-0005-0000-0000-000054100000}"/>
    <cellStyle name="Normal 4 2 7 2 2 6" xfId="4690" xr:uid="{00000000-0005-0000-0000-000055100000}"/>
    <cellStyle name="Normal 4 2 7 2 2 7" xfId="4691" xr:uid="{00000000-0005-0000-0000-000056100000}"/>
    <cellStyle name="Normal 4 2 7 2 3" xfId="4692" xr:uid="{00000000-0005-0000-0000-000057100000}"/>
    <cellStyle name="Normal 4 2 7 2 3 2" xfId="4693" xr:uid="{00000000-0005-0000-0000-000058100000}"/>
    <cellStyle name="Normal 4 2 7 2 3 2 2" xfId="4694" xr:uid="{00000000-0005-0000-0000-000059100000}"/>
    <cellStyle name="Normal 4 2 7 2 3 2 3" xfId="4695" xr:uid="{00000000-0005-0000-0000-00005A100000}"/>
    <cellStyle name="Normal 4 2 7 2 3 3" xfId="4696" xr:uid="{00000000-0005-0000-0000-00005B100000}"/>
    <cellStyle name="Normal 4 2 7 2 3 4" xfId="4697" xr:uid="{00000000-0005-0000-0000-00005C100000}"/>
    <cellStyle name="Normal 4 2 7 2 3 5" xfId="4698" xr:uid="{00000000-0005-0000-0000-00005D100000}"/>
    <cellStyle name="Normal 4 2 7 2 4" xfId="4699" xr:uid="{00000000-0005-0000-0000-00005E100000}"/>
    <cellStyle name="Normal 4 2 7 2 4 2" xfId="4700" xr:uid="{00000000-0005-0000-0000-00005F100000}"/>
    <cellStyle name="Normal 4 2 7 2 4 2 2" xfId="4701" xr:uid="{00000000-0005-0000-0000-000060100000}"/>
    <cellStyle name="Normal 4 2 7 2 4 2 3" xfId="4702" xr:uid="{00000000-0005-0000-0000-000061100000}"/>
    <cellStyle name="Normal 4 2 7 2 4 3" xfId="4703" xr:uid="{00000000-0005-0000-0000-000062100000}"/>
    <cellStyle name="Normal 4 2 7 2 4 4" xfId="4704" xr:uid="{00000000-0005-0000-0000-000063100000}"/>
    <cellStyle name="Normal 4 2 7 2 4 5" xfId="4705" xr:uid="{00000000-0005-0000-0000-000064100000}"/>
    <cellStyle name="Normal 4 2 7 2 5" xfId="4706" xr:uid="{00000000-0005-0000-0000-000065100000}"/>
    <cellStyle name="Normal 4 2 7 2 5 2" xfId="4707" xr:uid="{00000000-0005-0000-0000-000066100000}"/>
    <cellStyle name="Normal 4 2 7 2 5 3" xfId="4708" xr:uid="{00000000-0005-0000-0000-000067100000}"/>
    <cellStyle name="Normal 4 2 7 2 6" xfId="4709" xr:uid="{00000000-0005-0000-0000-000068100000}"/>
    <cellStyle name="Normal 4 2 7 2 7" xfId="4710" xr:uid="{00000000-0005-0000-0000-000069100000}"/>
    <cellStyle name="Normal 4 2 7 2 8" xfId="4711" xr:uid="{00000000-0005-0000-0000-00006A100000}"/>
    <cellStyle name="Normal 4 2 7 3" xfId="4712" xr:uid="{00000000-0005-0000-0000-00006B100000}"/>
    <cellStyle name="Normal 4 2 7 3 2" xfId="4713" xr:uid="{00000000-0005-0000-0000-00006C100000}"/>
    <cellStyle name="Normal 4 2 7 3 2 2" xfId="4714" xr:uid="{00000000-0005-0000-0000-00006D100000}"/>
    <cellStyle name="Normal 4 2 7 3 2 2 2" xfId="4715" xr:uid="{00000000-0005-0000-0000-00006E100000}"/>
    <cellStyle name="Normal 4 2 7 3 2 2 3" xfId="4716" xr:uid="{00000000-0005-0000-0000-00006F100000}"/>
    <cellStyle name="Normal 4 2 7 3 2 3" xfId="4717" xr:uid="{00000000-0005-0000-0000-000070100000}"/>
    <cellStyle name="Normal 4 2 7 3 2 4" xfId="4718" xr:uid="{00000000-0005-0000-0000-000071100000}"/>
    <cellStyle name="Normal 4 2 7 3 2 5" xfId="4719" xr:uid="{00000000-0005-0000-0000-000072100000}"/>
    <cellStyle name="Normal 4 2 7 3 3" xfId="4720" xr:uid="{00000000-0005-0000-0000-000073100000}"/>
    <cellStyle name="Normal 4 2 7 3 3 2" xfId="4721" xr:uid="{00000000-0005-0000-0000-000074100000}"/>
    <cellStyle name="Normal 4 2 7 3 3 2 2" xfId="4722" xr:uid="{00000000-0005-0000-0000-000075100000}"/>
    <cellStyle name="Normal 4 2 7 3 3 2 3" xfId="4723" xr:uid="{00000000-0005-0000-0000-000076100000}"/>
    <cellStyle name="Normal 4 2 7 3 3 3" xfId="4724" xr:uid="{00000000-0005-0000-0000-000077100000}"/>
    <cellStyle name="Normal 4 2 7 3 3 4" xfId="4725" xr:uid="{00000000-0005-0000-0000-000078100000}"/>
    <cellStyle name="Normal 4 2 7 3 3 5" xfId="4726" xr:uid="{00000000-0005-0000-0000-000079100000}"/>
    <cellStyle name="Normal 4 2 7 3 4" xfId="4727" xr:uid="{00000000-0005-0000-0000-00007A100000}"/>
    <cellStyle name="Normal 4 2 7 3 4 2" xfId="4728" xr:uid="{00000000-0005-0000-0000-00007B100000}"/>
    <cellStyle name="Normal 4 2 7 3 4 3" xfId="4729" xr:uid="{00000000-0005-0000-0000-00007C100000}"/>
    <cellStyle name="Normal 4 2 7 3 5" xfId="4730" xr:uid="{00000000-0005-0000-0000-00007D100000}"/>
    <cellStyle name="Normal 4 2 7 3 6" xfId="4731" xr:uid="{00000000-0005-0000-0000-00007E100000}"/>
    <cellStyle name="Normal 4 2 7 3 7" xfId="4732" xr:uid="{00000000-0005-0000-0000-00007F100000}"/>
    <cellStyle name="Normal 4 2 7 4" xfId="4733" xr:uid="{00000000-0005-0000-0000-000080100000}"/>
    <cellStyle name="Normal 4 2 7 4 2" xfId="4734" xr:uid="{00000000-0005-0000-0000-000081100000}"/>
    <cellStyle name="Normal 4 2 7 4 2 2" xfId="4735" xr:uid="{00000000-0005-0000-0000-000082100000}"/>
    <cellStyle name="Normal 4 2 7 4 2 3" xfId="4736" xr:uid="{00000000-0005-0000-0000-000083100000}"/>
    <cellStyle name="Normal 4 2 7 4 3" xfId="4737" xr:uid="{00000000-0005-0000-0000-000084100000}"/>
    <cellStyle name="Normal 4 2 7 4 4" xfId="4738" xr:uid="{00000000-0005-0000-0000-000085100000}"/>
    <cellStyle name="Normal 4 2 7 4 5" xfId="4739" xr:uid="{00000000-0005-0000-0000-000086100000}"/>
    <cellStyle name="Normal 4 2 7 5" xfId="4740" xr:uid="{00000000-0005-0000-0000-000087100000}"/>
    <cellStyle name="Normal 4 2 7 5 2" xfId="4741" xr:uid="{00000000-0005-0000-0000-000088100000}"/>
    <cellStyle name="Normal 4 2 7 5 2 2" xfId="4742" xr:uid="{00000000-0005-0000-0000-000089100000}"/>
    <cellStyle name="Normal 4 2 7 5 2 3" xfId="4743" xr:uid="{00000000-0005-0000-0000-00008A100000}"/>
    <cellStyle name="Normal 4 2 7 5 3" xfId="4744" xr:uid="{00000000-0005-0000-0000-00008B100000}"/>
    <cellStyle name="Normal 4 2 7 5 4" xfId="4745" xr:uid="{00000000-0005-0000-0000-00008C100000}"/>
    <cellStyle name="Normal 4 2 7 5 5" xfId="4746" xr:uid="{00000000-0005-0000-0000-00008D100000}"/>
    <cellStyle name="Normal 4 2 7 6" xfId="4747" xr:uid="{00000000-0005-0000-0000-00008E100000}"/>
    <cellStyle name="Normal 4 2 7 6 2" xfId="4748" xr:uid="{00000000-0005-0000-0000-00008F100000}"/>
    <cellStyle name="Normal 4 2 7 6 3" xfId="4749" xr:uid="{00000000-0005-0000-0000-000090100000}"/>
    <cellStyle name="Normal 4 2 7 7" xfId="4750" xr:uid="{00000000-0005-0000-0000-000091100000}"/>
    <cellStyle name="Normal 4 2 7 8" xfId="4751" xr:uid="{00000000-0005-0000-0000-000092100000}"/>
    <cellStyle name="Normal 4 2 7 9" xfId="4752" xr:uid="{00000000-0005-0000-0000-000093100000}"/>
    <cellStyle name="Normal 4 2 8" xfId="4753" xr:uid="{00000000-0005-0000-0000-000094100000}"/>
    <cellStyle name="Normal 4 2 8 2" xfId="4754" xr:uid="{00000000-0005-0000-0000-000095100000}"/>
    <cellStyle name="Normal 4 2 8 2 2" xfId="4755" xr:uid="{00000000-0005-0000-0000-000096100000}"/>
    <cellStyle name="Normal 4 2 8 2 2 2" xfId="4756" xr:uid="{00000000-0005-0000-0000-000097100000}"/>
    <cellStyle name="Normal 4 2 8 2 2 2 2" xfId="4757" xr:uid="{00000000-0005-0000-0000-000098100000}"/>
    <cellStyle name="Normal 4 2 8 2 2 2 3" xfId="4758" xr:uid="{00000000-0005-0000-0000-000099100000}"/>
    <cellStyle name="Normal 4 2 8 2 2 3" xfId="4759" xr:uid="{00000000-0005-0000-0000-00009A100000}"/>
    <cellStyle name="Normal 4 2 8 2 2 4" xfId="4760" xr:uid="{00000000-0005-0000-0000-00009B100000}"/>
    <cellStyle name="Normal 4 2 8 2 2 5" xfId="4761" xr:uid="{00000000-0005-0000-0000-00009C100000}"/>
    <cellStyle name="Normal 4 2 8 2 3" xfId="4762" xr:uid="{00000000-0005-0000-0000-00009D100000}"/>
    <cellStyle name="Normal 4 2 8 2 3 2" xfId="4763" xr:uid="{00000000-0005-0000-0000-00009E100000}"/>
    <cellStyle name="Normal 4 2 8 2 3 2 2" xfId="4764" xr:uid="{00000000-0005-0000-0000-00009F100000}"/>
    <cellStyle name="Normal 4 2 8 2 3 2 3" xfId="4765" xr:uid="{00000000-0005-0000-0000-0000A0100000}"/>
    <cellStyle name="Normal 4 2 8 2 3 3" xfId="4766" xr:uid="{00000000-0005-0000-0000-0000A1100000}"/>
    <cellStyle name="Normal 4 2 8 2 3 4" xfId="4767" xr:uid="{00000000-0005-0000-0000-0000A2100000}"/>
    <cellStyle name="Normal 4 2 8 2 3 5" xfId="4768" xr:uid="{00000000-0005-0000-0000-0000A3100000}"/>
    <cellStyle name="Normal 4 2 8 2 4" xfId="4769" xr:uid="{00000000-0005-0000-0000-0000A4100000}"/>
    <cellStyle name="Normal 4 2 8 2 4 2" xfId="4770" xr:uid="{00000000-0005-0000-0000-0000A5100000}"/>
    <cellStyle name="Normal 4 2 8 2 4 3" xfId="4771" xr:uid="{00000000-0005-0000-0000-0000A6100000}"/>
    <cellStyle name="Normal 4 2 8 2 5" xfId="4772" xr:uid="{00000000-0005-0000-0000-0000A7100000}"/>
    <cellStyle name="Normal 4 2 8 2 6" xfId="4773" xr:uid="{00000000-0005-0000-0000-0000A8100000}"/>
    <cellStyle name="Normal 4 2 8 2 7" xfId="4774" xr:uid="{00000000-0005-0000-0000-0000A9100000}"/>
    <cellStyle name="Normal 4 2 8 3" xfId="4775" xr:uid="{00000000-0005-0000-0000-0000AA100000}"/>
    <cellStyle name="Normal 4 2 8 3 2" xfId="4776" xr:uid="{00000000-0005-0000-0000-0000AB100000}"/>
    <cellStyle name="Normal 4 2 8 3 2 2" xfId="4777" xr:uid="{00000000-0005-0000-0000-0000AC100000}"/>
    <cellStyle name="Normal 4 2 8 3 2 3" xfId="4778" xr:uid="{00000000-0005-0000-0000-0000AD100000}"/>
    <cellStyle name="Normal 4 2 8 3 3" xfId="4779" xr:uid="{00000000-0005-0000-0000-0000AE100000}"/>
    <cellStyle name="Normal 4 2 8 3 4" xfId="4780" xr:uid="{00000000-0005-0000-0000-0000AF100000}"/>
    <cellStyle name="Normal 4 2 8 3 5" xfId="4781" xr:uid="{00000000-0005-0000-0000-0000B0100000}"/>
    <cellStyle name="Normal 4 2 8 4" xfId="4782" xr:uid="{00000000-0005-0000-0000-0000B1100000}"/>
    <cellStyle name="Normal 4 2 8 4 2" xfId="4783" xr:uid="{00000000-0005-0000-0000-0000B2100000}"/>
    <cellStyle name="Normal 4 2 8 4 2 2" xfId="4784" xr:uid="{00000000-0005-0000-0000-0000B3100000}"/>
    <cellStyle name="Normal 4 2 8 4 2 3" xfId="4785" xr:uid="{00000000-0005-0000-0000-0000B4100000}"/>
    <cellStyle name="Normal 4 2 8 4 3" xfId="4786" xr:uid="{00000000-0005-0000-0000-0000B5100000}"/>
    <cellStyle name="Normal 4 2 8 4 4" xfId="4787" xr:uid="{00000000-0005-0000-0000-0000B6100000}"/>
    <cellStyle name="Normal 4 2 8 4 5" xfId="4788" xr:uid="{00000000-0005-0000-0000-0000B7100000}"/>
    <cellStyle name="Normal 4 2 8 5" xfId="4789" xr:uid="{00000000-0005-0000-0000-0000B8100000}"/>
    <cellStyle name="Normal 4 2 8 5 2" xfId="4790" xr:uid="{00000000-0005-0000-0000-0000B9100000}"/>
    <cellStyle name="Normal 4 2 8 5 3" xfId="4791" xr:uid="{00000000-0005-0000-0000-0000BA100000}"/>
    <cellStyle name="Normal 4 2 8 6" xfId="4792" xr:uid="{00000000-0005-0000-0000-0000BB100000}"/>
    <cellStyle name="Normal 4 2 8 7" xfId="4793" xr:uid="{00000000-0005-0000-0000-0000BC100000}"/>
    <cellStyle name="Normal 4 2 8 8" xfId="4794" xr:uid="{00000000-0005-0000-0000-0000BD100000}"/>
    <cellStyle name="Normal 4 2 9" xfId="4795" xr:uid="{00000000-0005-0000-0000-0000BE100000}"/>
    <cellStyle name="Normal 4 2 9 2" xfId="4796" xr:uid="{00000000-0005-0000-0000-0000BF100000}"/>
    <cellStyle name="Normal 4 2 9 2 2" xfId="4797" xr:uid="{00000000-0005-0000-0000-0000C0100000}"/>
    <cellStyle name="Normal 4 2 9 2 2 2" xfId="4798" xr:uid="{00000000-0005-0000-0000-0000C1100000}"/>
    <cellStyle name="Normal 4 2 9 2 2 3" xfId="4799" xr:uid="{00000000-0005-0000-0000-0000C2100000}"/>
    <cellStyle name="Normal 4 2 9 2 3" xfId="4800" xr:uid="{00000000-0005-0000-0000-0000C3100000}"/>
    <cellStyle name="Normal 4 2 9 2 4" xfId="4801" xr:uid="{00000000-0005-0000-0000-0000C4100000}"/>
    <cellStyle name="Normal 4 2 9 2 5" xfId="4802" xr:uid="{00000000-0005-0000-0000-0000C5100000}"/>
    <cellStyle name="Normal 4 2 9 3" xfId="4803" xr:uid="{00000000-0005-0000-0000-0000C6100000}"/>
    <cellStyle name="Normal 4 2 9 3 2" xfId="4804" xr:uid="{00000000-0005-0000-0000-0000C7100000}"/>
    <cellStyle name="Normal 4 2 9 3 2 2" xfId="4805" xr:uid="{00000000-0005-0000-0000-0000C8100000}"/>
    <cellStyle name="Normal 4 2 9 3 2 3" xfId="4806" xr:uid="{00000000-0005-0000-0000-0000C9100000}"/>
    <cellStyle name="Normal 4 2 9 3 3" xfId="4807" xr:uid="{00000000-0005-0000-0000-0000CA100000}"/>
    <cellStyle name="Normal 4 2 9 3 4" xfId="4808" xr:uid="{00000000-0005-0000-0000-0000CB100000}"/>
    <cellStyle name="Normal 4 2 9 3 5" xfId="4809" xr:uid="{00000000-0005-0000-0000-0000CC100000}"/>
    <cellStyle name="Normal 4 2 9 4" xfId="4810" xr:uid="{00000000-0005-0000-0000-0000CD100000}"/>
    <cellStyle name="Normal 4 2 9 4 2" xfId="4811" xr:uid="{00000000-0005-0000-0000-0000CE100000}"/>
    <cellStyle name="Normal 4 2 9 4 3" xfId="4812" xr:uid="{00000000-0005-0000-0000-0000CF100000}"/>
    <cellStyle name="Normal 4 2 9 5" xfId="4813" xr:uid="{00000000-0005-0000-0000-0000D0100000}"/>
    <cellStyle name="Normal 4 2 9 6" xfId="4814" xr:uid="{00000000-0005-0000-0000-0000D1100000}"/>
    <cellStyle name="Normal 4 2 9 7" xfId="4815" xr:uid="{00000000-0005-0000-0000-0000D2100000}"/>
    <cellStyle name="Normal 4 3" xfId="524" xr:uid="{00000000-0005-0000-0000-0000D3100000}"/>
    <cellStyle name="Normal 4 3 10" xfId="4816" xr:uid="{00000000-0005-0000-0000-0000D4100000}"/>
    <cellStyle name="Normal 4 3 10 2" xfId="4817" xr:uid="{00000000-0005-0000-0000-0000D5100000}"/>
    <cellStyle name="Normal 4 3 10 2 2" xfId="4818" xr:uid="{00000000-0005-0000-0000-0000D6100000}"/>
    <cellStyle name="Normal 4 3 10 2 2 2" xfId="4819" xr:uid="{00000000-0005-0000-0000-0000D7100000}"/>
    <cellStyle name="Normal 4 3 10 2 2 3" xfId="4820" xr:uid="{00000000-0005-0000-0000-0000D8100000}"/>
    <cellStyle name="Normal 4 3 10 2 3" xfId="4821" xr:uid="{00000000-0005-0000-0000-0000D9100000}"/>
    <cellStyle name="Normal 4 3 10 2 4" xfId="4822" xr:uid="{00000000-0005-0000-0000-0000DA100000}"/>
    <cellStyle name="Normal 4 3 10 2 5" xfId="4823" xr:uid="{00000000-0005-0000-0000-0000DB100000}"/>
    <cellStyle name="Normal 4 3 10 3" xfId="4824" xr:uid="{00000000-0005-0000-0000-0000DC100000}"/>
    <cellStyle name="Normal 4 3 10 3 2" xfId="4825" xr:uid="{00000000-0005-0000-0000-0000DD100000}"/>
    <cellStyle name="Normal 4 3 10 3 2 2" xfId="4826" xr:uid="{00000000-0005-0000-0000-0000DE100000}"/>
    <cellStyle name="Normal 4 3 10 3 2 3" xfId="4827" xr:uid="{00000000-0005-0000-0000-0000DF100000}"/>
    <cellStyle name="Normal 4 3 10 3 3" xfId="4828" xr:uid="{00000000-0005-0000-0000-0000E0100000}"/>
    <cellStyle name="Normal 4 3 10 3 4" xfId="4829" xr:uid="{00000000-0005-0000-0000-0000E1100000}"/>
    <cellStyle name="Normal 4 3 10 3 5" xfId="4830" xr:uid="{00000000-0005-0000-0000-0000E2100000}"/>
    <cellStyle name="Normal 4 3 10 4" xfId="4831" xr:uid="{00000000-0005-0000-0000-0000E3100000}"/>
    <cellStyle name="Normal 4 3 10 4 2" xfId="4832" xr:uid="{00000000-0005-0000-0000-0000E4100000}"/>
    <cellStyle name="Normal 4 3 10 4 3" xfId="4833" xr:uid="{00000000-0005-0000-0000-0000E5100000}"/>
    <cellStyle name="Normal 4 3 10 5" xfId="4834" xr:uid="{00000000-0005-0000-0000-0000E6100000}"/>
    <cellStyle name="Normal 4 3 10 6" xfId="4835" xr:uid="{00000000-0005-0000-0000-0000E7100000}"/>
    <cellStyle name="Normal 4 3 10 7" xfId="4836" xr:uid="{00000000-0005-0000-0000-0000E8100000}"/>
    <cellStyle name="Normal 4 3 11" xfId="4837" xr:uid="{00000000-0005-0000-0000-0000E9100000}"/>
    <cellStyle name="Normal 4 3 11 2" xfId="4838" xr:uid="{00000000-0005-0000-0000-0000EA100000}"/>
    <cellStyle name="Normal 4 3 11 2 2" xfId="4839" xr:uid="{00000000-0005-0000-0000-0000EB100000}"/>
    <cellStyle name="Normal 4 3 11 2 3" xfId="4840" xr:uid="{00000000-0005-0000-0000-0000EC100000}"/>
    <cellStyle name="Normal 4 3 11 3" xfId="4841" xr:uid="{00000000-0005-0000-0000-0000ED100000}"/>
    <cellStyle name="Normal 4 3 11 4" xfId="4842" xr:uid="{00000000-0005-0000-0000-0000EE100000}"/>
    <cellStyle name="Normal 4 3 11 5" xfId="4843" xr:uid="{00000000-0005-0000-0000-0000EF100000}"/>
    <cellStyle name="Normal 4 3 12" xfId="4844" xr:uid="{00000000-0005-0000-0000-0000F0100000}"/>
    <cellStyle name="Normal 4 3 12 2" xfId="4845" xr:uid="{00000000-0005-0000-0000-0000F1100000}"/>
    <cellStyle name="Normal 4 3 12 2 2" xfId="4846" xr:uid="{00000000-0005-0000-0000-0000F2100000}"/>
    <cellStyle name="Normal 4 3 12 2 3" xfId="4847" xr:uid="{00000000-0005-0000-0000-0000F3100000}"/>
    <cellStyle name="Normal 4 3 12 3" xfId="4848" xr:uid="{00000000-0005-0000-0000-0000F4100000}"/>
    <cellStyle name="Normal 4 3 12 4" xfId="4849" xr:uid="{00000000-0005-0000-0000-0000F5100000}"/>
    <cellStyle name="Normal 4 3 12 5" xfId="4850" xr:uid="{00000000-0005-0000-0000-0000F6100000}"/>
    <cellStyle name="Normal 4 3 13" xfId="4851" xr:uid="{00000000-0005-0000-0000-0000F7100000}"/>
    <cellStyle name="Normal 4 3 13 2" xfId="4852" xr:uid="{00000000-0005-0000-0000-0000F8100000}"/>
    <cellStyle name="Normal 4 3 13 3" xfId="4853" xr:uid="{00000000-0005-0000-0000-0000F9100000}"/>
    <cellStyle name="Normal 4 3 14" xfId="4854" xr:uid="{00000000-0005-0000-0000-0000FA100000}"/>
    <cellStyle name="Normal 4 3 15" xfId="4855" xr:uid="{00000000-0005-0000-0000-0000FB100000}"/>
    <cellStyle name="Normal 4 3 16" xfId="4856" xr:uid="{00000000-0005-0000-0000-0000FC100000}"/>
    <cellStyle name="Normal 4 3 17" xfId="1124" xr:uid="{00000000-0005-0000-0000-0000FD100000}"/>
    <cellStyle name="Normal 4 3 2" xfId="1106" xr:uid="{00000000-0005-0000-0000-0000FE100000}"/>
    <cellStyle name="Normal 4 3 2 10" xfId="4857" xr:uid="{00000000-0005-0000-0000-0000FF100000}"/>
    <cellStyle name="Normal 4 3 2 10 2" xfId="4858" xr:uid="{00000000-0005-0000-0000-000000110000}"/>
    <cellStyle name="Normal 4 3 2 10 2 2" xfId="4859" xr:uid="{00000000-0005-0000-0000-000001110000}"/>
    <cellStyle name="Normal 4 3 2 10 2 3" xfId="4860" xr:uid="{00000000-0005-0000-0000-000002110000}"/>
    <cellStyle name="Normal 4 3 2 10 3" xfId="4861" xr:uid="{00000000-0005-0000-0000-000003110000}"/>
    <cellStyle name="Normal 4 3 2 10 4" xfId="4862" xr:uid="{00000000-0005-0000-0000-000004110000}"/>
    <cellStyle name="Normal 4 3 2 10 5" xfId="4863" xr:uid="{00000000-0005-0000-0000-000005110000}"/>
    <cellStyle name="Normal 4 3 2 11" xfId="4864" xr:uid="{00000000-0005-0000-0000-000006110000}"/>
    <cellStyle name="Normal 4 3 2 11 2" xfId="4865" xr:uid="{00000000-0005-0000-0000-000007110000}"/>
    <cellStyle name="Normal 4 3 2 11 3" xfId="4866" xr:uid="{00000000-0005-0000-0000-000008110000}"/>
    <cellStyle name="Normal 4 3 2 12" xfId="4867" xr:uid="{00000000-0005-0000-0000-000009110000}"/>
    <cellStyle name="Normal 4 3 2 13" xfId="4868" xr:uid="{00000000-0005-0000-0000-00000A110000}"/>
    <cellStyle name="Normal 4 3 2 14" xfId="4869" xr:uid="{00000000-0005-0000-0000-00000B110000}"/>
    <cellStyle name="Normal 4 3 2 2" xfId="4870" xr:uid="{00000000-0005-0000-0000-00000C110000}"/>
    <cellStyle name="Normal 4 3 2 2 10" xfId="4871" xr:uid="{00000000-0005-0000-0000-00000D110000}"/>
    <cellStyle name="Normal 4 3 2 2 10 2" xfId="4872" xr:uid="{00000000-0005-0000-0000-00000E110000}"/>
    <cellStyle name="Normal 4 3 2 2 10 3" xfId="4873" xr:uid="{00000000-0005-0000-0000-00000F110000}"/>
    <cellStyle name="Normal 4 3 2 2 11" xfId="4874" xr:uid="{00000000-0005-0000-0000-000010110000}"/>
    <cellStyle name="Normal 4 3 2 2 12" xfId="4875" xr:uid="{00000000-0005-0000-0000-000011110000}"/>
    <cellStyle name="Normal 4 3 2 2 13" xfId="4876" xr:uid="{00000000-0005-0000-0000-000012110000}"/>
    <cellStyle name="Normal 4 3 2 2 2" xfId="4877" xr:uid="{00000000-0005-0000-0000-000013110000}"/>
    <cellStyle name="Normal 4 3 2 2 2 2" xfId="4878" xr:uid="{00000000-0005-0000-0000-000014110000}"/>
    <cellStyle name="Normal 4 3 2 2 2 2 2" xfId="4879" xr:uid="{00000000-0005-0000-0000-000015110000}"/>
    <cellStyle name="Normal 4 3 2 2 2 2 2 2" xfId="4880" xr:uid="{00000000-0005-0000-0000-000016110000}"/>
    <cellStyle name="Normal 4 3 2 2 2 2 2 2 2" xfId="4881" xr:uid="{00000000-0005-0000-0000-000017110000}"/>
    <cellStyle name="Normal 4 3 2 2 2 2 2 2 2 2" xfId="4882" xr:uid="{00000000-0005-0000-0000-000018110000}"/>
    <cellStyle name="Normal 4 3 2 2 2 2 2 2 2 3" xfId="4883" xr:uid="{00000000-0005-0000-0000-000019110000}"/>
    <cellStyle name="Normal 4 3 2 2 2 2 2 2 3" xfId="4884" xr:uid="{00000000-0005-0000-0000-00001A110000}"/>
    <cellStyle name="Normal 4 3 2 2 2 2 2 2 4" xfId="4885" xr:uid="{00000000-0005-0000-0000-00001B110000}"/>
    <cellStyle name="Normal 4 3 2 2 2 2 2 2 5" xfId="4886" xr:uid="{00000000-0005-0000-0000-00001C110000}"/>
    <cellStyle name="Normal 4 3 2 2 2 2 2 3" xfId="4887" xr:uid="{00000000-0005-0000-0000-00001D110000}"/>
    <cellStyle name="Normal 4 3 2 2 2 2 2 3 2" xfId="4888" xr:uid="{00000000-0005-0000-0000-00001E110000}"/>
    <cellStyle name="Normal 4 3 2 2 2 2 2 3 2 2" xfId="4889" xr:uid="{00000000-0005-0000-0000-00001F110000}"/>
    <cellStyle name="Normal 4 3 2 2 2 2 2 3 2 3" xfId="4890" xr:uid="{00000000-0005-0000-0000-000020110000}"/>
    <cellStyle name="Normal 4 3 2 2 2 2 2 3 3" xfId="4891" xr:uid="{00000000-0005-0000-0000-000021110000}"/>
    <cellStyle name="Normal 4 3 2 2 2 2 2 3 4" xfId="4892" xr:uid="{00000000-0005-0000-0000-000022110000}"/>
    <cellStyle name="Normal 4 3 2 2 2 2 2 3 5" xfId="4893" xr:uid="{00000000-0005-0000-0000-000023110000}"/>
    <cellStyle name="Normal 4 3 2 2 2 2 2 4" xfId="4894" xr:uid="{00000000-0005-0000-0000-000024110000}"/>
    <cellStyle name="Normal 4 3 2 2 2 2 2 4 2" xfId="4895" xr:uid="{00000000-0005-0000-0000-000025110000}"/>
    <cellStyle name="Normal 4 3 2 2 2 2 2 4 3" xfId="4896" xr:uid="{00000000-0005-0000-0000-000026110000}"/>
    <cellStyle name="Normal 4 3 2 2 2 2 2 5" xfId="4897" xr:uid="{00000000-0005-0000-0000-000027110000}"/>
    <cellStyle name="Normal 4 3 2 2 2 2 2 6" xfId="4898" xr:uid="{00000000-0005-0000-0000-000028110000}"/>
    <cellStyle name="Normal 4 3 2 2 2 2 2 7" xfId="4899" xr:uid="{00000000-0005-0000-0000-000029110000}"/>
    <cellStyle name="Normal 4 3 2 2 2 2 3" xfId="4900" xr:uid="{00000000-0005-0000-0000-00002A110000}"/>
    <cellStyle name="Normal 4 3 2 2 2 2 3 2" xfId="4901" xr:uid="{00000000-0005-0000-0000-00002B110000}"/>
    <cellStyle name="Normal 4 3 2 2 2 2 3 2 2" xfId="4902" xr:uid="{00000000-0005-0000-0000-00002C110000}"/>
    <cellStyle name="Normal 4 3 2 2 2 2 3 2 3" xfId="4903" xr:uid="{00000000-0005-0000-0000-00002D110000}"/>
    <cellStyle name="Normal 4 3 2 2 2 2 3 3" xfId="4904" xr:uid="{00000000-0005-0000-0000-00002E110000}"/>
    <cellStyle name="Normal 4 3 2 2 2 2 3 4" xfId="4905" xr:uid="{00000000-0005-0000-0000-00002F110000}"/>
    <cellStyle name="Normal 4 3 2 2 2 2 3 5" xfId="4906" xr:uid="{00000000-0005-0000-0000-000030110000}"/>
    <cellStyle name="Normal 4 3 2 2 2 2 4" xfId="4907" xr:uid="{00000000-0005-0000-0000-000031110000}"/>
    <cellStyle name="Normal 4 3 2 2 2 2 4 2" xfId="4908" xr:uid="{00000000-0005-0000-0000-000032110000}"/>
    <cellStyle name="Normal 4 3 2 2 2 2 4 2 2" xfId="4909" xr:uid="{00000000-0005-0000-0000-000033110000}"/>
    <cellStyle name="Normal 4 3 2 2 2 2 4 2 3" xfId="4910" xr:uid="{00000000-0005-0000-0000-000034110000}"/>
    <cellStyle name="Normal 4 3 2 2 2 2 4 3" xfId="4911" xr:uid="{00000000-0005-0000-0000-000035110000}"/>
    <cellStyle name="Normal 4 3 2 2 2 2 4 4" xfId="4912" xr:uid="{00000000-0005-0000-0000-000036110000}"/>
    <cellStyle name="Normal 4 3 2 2 2 2 4 5" xfId="4913" xr:uid="{00000000-0005-0000-0000-000037110000}"/>
    <cellStyle name="Normal 4 3 2 2 2 2 5" xfId="4914" xr:uid="{00000000-0005-0000-0000-000038110000}"/>
    <cellStyle name="Normal 4 3 2 2 2 2 5 2" xfId="4915" xr:uid="{00000000-0005-0000-0000-000039110000}"/>
    <cellStyle name="Normal 4 3 2 2 2 2 5 3" xfId="4916" xr:uid="{00000000-0005-0000-0000-00003A110000}"/>
    <cellStyle name="Normal 4 3 2 2 2 2 6" xfId="4917" xr:uid="{00000000-0005-0000-0000-00003B110000}"/>
    <cellStyle name="Normal 4 3 2 2 2 2 7" xfId="4918" xr:uid="{00000000-0005-0000-0000-00003C110000}"/>
    <cellStyle name="Normal 4 3 2 2 2 2 8" xfId="4919" xr:uid="{00000000-0005-0000-0000-00003D110000}"/>
    <cellStyle name="Normal 4 3 2 2 2 3" xfId="4920" xr:uid="{00000000-0005-0000-0000-00003E110000}"/>
    <cellStyle name="Normal 4 3 2 2 2 3 2" xfId="4921" xr:uid="{00000000-0005-0000-0000-00003F110000}"/>
    <cellStyle name="Normal 4 3 2 2 2 3 2 2" xfId="4922" xr:uid="{00000000-0005-0000-0000-000040110000}"/>
    <cellStyle name="Normal 4 3 2 2 2 3 2 2 2" xfId="4923" xr:uid="{00000000-0005-0000-0000-000041110000}"/>
    <cellStyle name="Normal 4 3 2 2 2 3 2 2 3" xfId="4924" xr:uid="{00000000-0005-0000-0000-000042110000}"/>
    <cellStyle name="Normal 4 3 2 2 2 3 2 3" xfId="4925" xr:uid="{00000000-0005-0000-0000-000043110000}"/>
    <cellStyle name="Normal 4 3 2 2 2 3 2 4" xfId="4926" xr:uid="{00000000-0005-0000-0000-000044110000}"/>
    <cellStyle name="Normal 4 3 2 2 2 3 2 5" xfId="4927" xr:uid="{00000000-0005-0000-0000-000045110000}"/>
    <cellStyle name="Normal 4 3 2 2 2 3 3" xfId="4928" xr:uid="{00000000-0005-0000-0000-000046110000}"/>
    <cellStyle name="Normal 4 3 2 2 2 3 3 2" xfId="4929" xr:uid="{00000000-0005-0000-0000-000047110000}"/>
    <cellStyle name="Normal 4 3 2 2 2 3 3 2 2" xfId="4930" xr:uid="{00000000-0005-0000-0000-000048110000}"/>
    <cellStyle name="Normal 4 3 2 2 2 3 3 2 3" xfId="4931" xr:uid="{00000000-0005-0000-0000-000049110000}"/>
    <cellStyle name="Normal 4 3 2 2 2 3 3 3" xfId="4932" xr:uid="{00000000-0005-0000-0000-00004A110000}"/>
    <cellStyle name="Normal 4 3 2 2 2 3 3 4" xfId="4933" xr:uid="{00000000-0005-0000-0000-00004B110000}"/>
    <cellStyle name="Normal 4 3 2 2 2 3 3 5" xfId="4934" xr:uid="{00000000-0005-0000-0000-00004C110000}"/>
    <cellStyle name="Normal 4 3 2 2 2 3 4" xfId="4935" xr:uid="{00000000-0005-0000-0000-00004D110000}"/>
    <cellStyle name="Normal 4 3 2 2 2 3 4 2" xfId="4936" xr:uid="{00000000-0005-0000-0000-00004E110000}"/>
    <cellStyle name="Normal 4 3 2 2 2 3 4 3" xfId="4937" xr:uid="{00000000-0005-0000-0000-00004F110000}"/>
    <cellStyle name="Normal 4 3 2 2 2 3 5" xfId="4938" xr:uid="{00000000-0005-0000-0000-000050110000}"/>
    <cellStyle name="Normal 4 3 2 2 2 3 6" xfId="4939" xr:uid="{00000000-0005-0000-0000-000051110000}"/>
    <cellStyle name="Normal 4 3 2 2 2 3 7" xfId="4940" xr:uid="{00000000-0005-0000-0000-000052110000}"/>
    <cellStyle name="Normal 4 3 2 2 2 4" xfId="4941" xr:uid="{00000000-0005-0000-0000-000053110000}"/>
    <cellStyle name="Normal 4 3 2 2 2 4 2" xfId="4942" xr:uid="{00000000-0005-0000-0000-000054110000}"/>
    <cellStyle name="Normal 4 3 2 2 2 4 2 2" xfId="4943" xr:uid="{00000000-0005-0000-0000-000055110000}"/>
    <cellStyle name="Normal 4 3 2 2 2 4 2 3" xfId="4944" xr:uid="{00000000-0005-0000-0000-000056110000}"/>
    <cellStyle name="Normal 4 3 2 2 2 4 3" xfId="4945" xr:uid="{00000000-0005-0000-0000-000057110000}"/>
    <cellStyle name="Normal 4 3 2 2 2 4 4" xfId="4946" xr:uid="{00000000-0005-0000-0000-000058110000}"/>
    <cellStyle name="Normal 4 3 2 2 2 4 5" xfId="4947" xr:uid="{00000000-0005-0000-0000-000059110000}"/>
    <cellStyle name="Normal 4 3 2 2 2 5" xfId="4948" xr:uid="{00000000-0005-0000-0000-00005A110000}"/>
    <cellStyle name="Normal 4 3 2 2 2 5 2" xfId="4949" xr:uid="{00000000-0005-0000-0000-00005B110000}"/>
    <cellStyle name="Normal 4 3 2 2 2 5 2 2" xfId="4950" xr:uid="{00000000-0005-0000-0000-00005C110000}"/>
    <cellStyle name="Normal 4 3 2 2 2 5 2 3" xfId="4951" xr:uid="{00000000-0005-0000-0000-00005D110000}"/>
    <cellStyle name="Normal 4 3 2 2 2 5 3" xfId="4952" xr:uid="{00000000-0005-0000-0000-00005E110000}"/>
    <cellStyle name="Normal 4 3 2 2 2 5 4" xfId="4953" xr:uid="{00000000-0005-0000-0000-00005F110000}"/>
    <cellStyle name="Normal 4 3 2 2 2 5 5" xfId="4954" xr:uid="{00000000-0005-0000-0000-000060110000}"/>
    <cellStyle name="Normal 4 3 2 2 2 6" xfId="4955" xr:uid="{00000000-0005-0000-0000-000061110000}"/>
    <cellStyle name="Normal 4 3 2 2 2 6 2" xfId="4956" xr:uid="{00000000-0005-0000-0000-000062110000}"/>
    <cellStyle name="Normal 4 3 2 2 2 6 3" xfId="4957" xr:uid="{00000000-0005-0000-0000-000063110000}"/>
    <cellStyle name="Normal 4 3 2 2 2 7" xfId="4958" xr:uid="{00000000-0005-0000-0000-000064110000}"/>
    <cellStyle name="Normal 4 3 2 2 2 8" xfId="4959" xr:uid="{00000000-0005-0000-0000-000065110000}"/>
    <cellStyle name="Normal 4 3 2 2 2 9" xfId="4960" xr:uid="{00000000-0005-0000-0000-000066110000}"/>
    <cellStyle name="Normal 4 3 2 2 3" xfId="4961" xr:uid="{00000000-0005-0000-0000-000067110000}"/>
    <cellStyle name="Normal 4 3 2 2 3 2" xfId="4962" xr:uid="{00000000-0005-0000-0000-000068110000}"/>
    <cellStyle name="Normal 4 3 2 2 3 2 2" xfId="4963" xr:uid="{00000000-0005-0000-0000-000069110000}"/>
    <cellStyle name="Normal 4 3 2 2 3 2 2 2" xfId="4964" xr:uid="{00000000-0005-0000-0000-00006A110000}"/>
    <cellStyle name="Normal 4 3 2 2 3 2 2 2 2" xfId="4965" xr:uid="{00000000-0005-0000-0000-00006B110000}"/>
    <cellStyle name="Normal 4 3 2 2 3 2 2 2 2 2" xfId="4966" xr:uid="{00000000-0005-0000-0000-00006C110000}"/>
    <cellStyle name="Normal 4 3 2 2 3 2 2 2 2 3" xfId="4967" xr:uid="{00000000-0005-0000-0000-00006D110000}"/>
    <cellStyle name="Normal 4 3 2 2 3 2 2 2 3" xfId="4968" xr:uid="{00000000-0005-0000-0000-00006E110000}"/>
    <cellStyle name="Normal 4 3 2 2 3 2 2 2 4" xfId="4969" xr:uid="{00000000-0005-0000-0000-00006F110000}"/>
    <cellStyle name="Normal 4 3 2 2 3 2 2 2 5" xfId="4970" xr:uid="{00000000-0005-0000-0000-000070110000}"/>
    <cellStyle name="Normal 4 3 2 2 3 2 2 3" xfId="4971" xr:uid="{00000000-0005-0000-0000-000071110000}"/>
    <cellStyle name="Normal 4 3 2 2 3 2 2 3 2" xfId="4972" xr:uid="{00000000-0005-0000-0000-000072110000}"/>
    <cellStyle name="Normal 4 3 2 2 3 2 2 3 2 2" xfId="4973" xr:uid="{00000000-0005-0000-0000-000073110000}"/>
    <cellStyle name="Normal 4 3 2 2 3 2 2 3 2 3" xfId="4974" xr:uid="{00000000-0005-0000-0000-000074110000}"/>
    <cellStyle name="Normal 4 3 2 2 3 2 2 3 3" xfId="4975" xr:uid="{00000000-0005-0000-0000-000075110000}"/>
    <cellStyle name="Normal 4 3 2 2 3 2 2 3 4" xfId="4976" xr:uid="{00000000-0005-0000-0000-000076110000}"/>
    <cellStyle name="Normal 4 3 2 2 3 2 2 3 5" xfId="4977" xr:uid="{00000000-0005-0000-0000-000077110000}"/>
    <cellStyle name="Normal 4 3 2 2 3 2 2 4" xfId="4978" xr:uid="{00000000-0005-0000-0000-000078110000}"/>
    <cellStyle name="Normal 4 3 2 2 3 2 2 4 2" xfId="4979" xr:uid="{00000000-0005-0000-0000-000079110000}"/>
    <cellStyle name="Normal 4 3 2 2 3 2 2 4 3" xfId="4980" xr:uid="{00000000-0005-0000-0000-00007A110000}"/>
    <cellStyle name="Normal 4 3 2 2 3 2 2 5" xfId="4981" xr:uid="{00000000-0005-0000-0000-00007B110000}"/>
    <cellStyle name="Normal 4 3 2 2 3 2 2 6" xfId="4982" xr:uid="{00000000-0005-0000-0000-00007C110000}"/>
    <cellStyle name="Normal 4 3 2 2 3 2 2 7" xfId="4983" xr:uid="{00000000-0005-0000-0000-00007D110000}"/>
    <cellStyle name="Normal 4 3 2 2 3 2 3" xfId="4984" xr:uid="{00000000-0005-0000-0000-00007E110000}"/>
    <cellStyle name="Normal 4 3 2 2 3 2 3 2" xfId="4985" xr:uid="{00000000-0005-0000-0000-00007F110000}"/>
    <cellStyle name="Normal 4 3 2 2 3 2 3 2 2" xfId="4986" xr:uid="{00000000-0005-0000-0000-000080110000}"/>
    <cellStyle name="Normal 4 3 2 2 3 2 3 2 3" xfId="4987" xr:uid="{00000000-0005-0000-0000-000081110000}"/>
    <cellStyle name="Normal 4 3 2 2 3 2 3 3" xfId="4988" xr:uid="{00000000-0005-0000-0000-000082110000}"/>
    <cellStyle name="Normal 4 3 2 2 3 2 3 4" xfId="4989" xr:uid="{00000000-0005-0000-0000-000083110000}"/>
    <cellStyle name="Normal 4 3 2 2 3 2 3 5" xfId="4990" xr:uid="{00000000-0005-0000-0000-000084110000}"/>
    <cellStyle name="Normal 4 3 2 2 3 2 4" xfId="4991" xr:uid="{00000000-0005-0000-0000-000085110000}"/>
    <cellStyle name="Normal 4 3 2 2 3 2 4 2" xfId="4992" xr:uid="{00000000-0005-0000-0000-000086110000}"/>
    <cellStyle name="Normal 4 3 2 2 3 2 4 2 2" xfId="4993" xr:uid="{00000000-0005-0000-0000-000087110000}"/>
    <cellStyle name="Normal 4 3 2 2 3 2 4 2 3" xfId="4994" xr:uid="{00000000-0005-0000-0000-000088110000}"/>
    <cellStyle name="Normal 4 3 2 2 3 2 4 3" xfId="4995" xr:uid="{00000000-0005-0000-0000-000089110000}"/>
    <cellStyle name="Normal 4 3 2 2 3 2 4 4" xfId="4996" xr:uid="{00000000-0005-0000-0000-00008A110000}"/>
    <cellStyle name="Normal 4 3 2 2 3 2 4 5" xfId="4997" xr:uid="{00000000-0005-0000-0000-00008B110000}"/>
    <cellStyle name="Normal 4 3 2 2 3 2 5" xfId="4998" xr:uid="{00000000-0005-0000-0000-00008C110000}"/>
    <cellStyle name="Normal 4 3 2 2 3 2 5 2" xfId="4999" xr:uid="{00000000-0005-0000-0000-00008D110000}"/>
    <cellStyle name="Normal 4 3 2 2 3 2 5 3" xfId="5000" xr:uid="{00000000-0005-0000-0000-00008E110000}"/>
    <cellStyle name="Normal 4 3 2 2 3 2 6" xfId="5001" xr:uid="{00000000-0005-0000-0000-00008F110000}"/>
    <cellStyle name="Normal 4 3 2 2 3 2 7" xfId="5002" xr:uid="{00000000-0005-0000-0000-000090110000}"/>
    <cellStyle name="Normal 4 3 2 2 3 2 8" xfId="5003" xr:uid="{00000000-0005-0000-0000-000091110000}"/>
    <cellStyle name="Normal 4 3 2 2 3 3" xfId="5004" xr:uid="{00000000-0005-0000-0000-000092110000}"/>
    <cellStyle name="Normal 4 3 2 2 3 3 2" xfId="5005" xr:uid="{00000000-0005-0000-0000-000093110000}"/>
    <cellStyle name="Normal 4 3 2 2 3 3 2 2" xfId="5006" xr:uid="{00000000-0005-0000-0000-000094110000}"/>
    <cellStyle name="Normal 4 3 2 2 3 3 2 2 2" xfId="5007" xr:uid="{00000000-0005-0000-0000-000095110000}"/>
    <cellStyle name="Normal 4 3 2 2 3 3 2 2 3" xfId="5008" xr:uid="{00000000-0005-0000-0000-000096110000}"/>
    <cellStyle name="Normal 4 3 2 2 3 3 2 3" xfId="5009" xr:uid="{00000000-0005-0000-0000-000097110000}"/>
    <cellStyle name="Normal 4 3 2 2 3 3 2 4" xfId="5010" xr:uid="{00000000-0005-0000-0000-000098110000}"/>
    <cellStyle name="Normal 4 3 2 2 3 3 2 5" xfId="5011" xr:uid="{00000000-0005-0000-0000-000099110000}"/>
    <cellStyle name="Normal 4 3 2 2 3 3 3" xfId="5012" xr:uid="{00000000-0005-0000-0000-00009A110000}"/>
    <cellStyle name="Normal 4 3 2 2 3 3 3 2" xfId="5013" xr:uid="{00000000-0005-0000-0000-00009B110000}"/>
    <cellStyle name="Normal 4 3 2 2 3 3 3 2 2" xfId="5014" xr:uid="{00000000-0005-0000-0000-00009C110000}"/>
    <cellStyle name="Normal 4 3 2 2 3 3 3 2 3" xfId="5015" xr:uid="{00000000-0005-0000-0000-00009D110000}"/>
    <cellStyle name="Normal 4 3 2 2 3 3 3 3" xfId="5016" xr:uid="{00000000-0005-0000-0000-00009E110000}"/>
    <cellStyle name="Normal 4 3 2 2 3 3 3 4" xfId="5017" xr:uid="{00000000-0005-0000-0000-00009F110000}"/>
    <cellStyle name="Normal 4 3 2 2 3 3 3 5" xfId="5018" xr:uid="{00000000-0005-0000-0000-0000A0110000}"/>
    <cellStyle name="Normal 4 3 2 2 3 3 4" xfId="5019" xr:uid="{00000000-0005-0000-0000-0000A1110000}"/>
    <cellStyle name="Normal 4 3 2 2 3 3 4 2" xfId="5020" xr:uid="{00000000-0005-0000-0000-0000A2110000}"/>
    <cellStyle name="Normal 4 3 2 2 3 3 4 3" xfId="5021" xr:uid="{00000000-0005-0000-0000-0000A3110000}"/>
    <cellStyle name="Normal 4 3 2 2 3 3 5" xfId="5022" xr:uid="{00000000-0005-0000-0000-0000A4110000}"/>
    <cellStyle name="Normal 4 3 2 2 3 3 6" xfId="5023" xr:uid="{00000000-0005-0000-0000-0000A5110000}"/>
    <cellStyle name="Normal 4 3 2 2 3 3 7" xfId="5024" xr:uid="{00000000-0005-0000-0000-0000A6110000}"/>
    <cellStyle name="Normal 4 3 2 2 3 4" xfId="5025" xr:uid="{00000000-0005-0000-0000-0000A7110000}"/>
    <cellStyle name="Normal 4 3 2 2 3 4 2" xfId="5026" xr:uid="{00000000-0005-0000-0000-0000A8110000}"/>
    <cellStyle name="Normal 4 3 2 2 3 4 2 2" xfId="5027" xr:uid="{00000000-0005-0000-0000-0000A9110000}"/>
    <cellStyle name="Normal 4 3 2 2 3 4 2 3" xfId="5028" xr:uid="{00000000-0005-0000-0000-0000AA110000}"/>
    <cellStyle name="Normal 4 3 2 2 3 4 3" xfId="5029" xr:uid="{00000000-0005-0000-0000-0000AB110000}"/>
    <cellStyle name="Normal 4 3 2 2 3 4 4" xfId="5030" xr:uid="{00000000-0005-0000-0000-0000AC110000}"/>
    <cellStyle name="Normal 4 3 2 2 3 4 5" xfId="5031" xr:uid="{00000000-0005-0000-0000-0000AD110000}"/>
    <cellStyle name="Normal 4 3 2 2 3 5" xfId="5032" xr:uid="{00000000-0005-0000-0000-0000AE110000}"/>
    <cellStyle name="Normal 4 3 2 2 3 5 2" xfId="5033" xr:uid="{00000000-0005-0000-0000-0000AF110000}"/>
    <cellStyle name="Normal 4 3 2 2 3 5 2 2" xfId="5034" xr:uid="{00000000-0005-0000-0000-0000B0110000}"/>
    <cellStyle name="Normal 4 3 2 2 3 5 2 3" xfId="5035" xr:uid="{00000000-0005-0000-0000-0000B1110000}"/>
    <cellStyle name="Normal 4 3 2 2 3 5 3" xfId="5036" xr:uid="{00000000-0005-0000-0000-0000B2110000}"/>
    <cellStyle name="Normal 4 3 2 2 3 5 4" xfId="5037" xr:uid="{00000000-0005-0000-0000-0000B3110000}"/>
    <cellStyle name="Normal 4 3 2 2 3 5 5" xfId="5038" xr:uid="{00000000-0005-0000-0000-0000B4110000}"/>
    <cellStyle name="Normal 4 3 2 2 3 6" xfId="5039" xr:uid="{00000000-0005-0000-0000-0000B5110000}"/>
    <cellStyle name="Normal 4 3 2 2 3 6 2" xfId="5040" xr:uid="{00000000-0005-0000-0000-0000B6110000}"/>
    <cellStyle name="Normal 4 3 2 2 3 6 3" xfId="5041" xr:uid="{00000000-0005-0000-0000-0000B7110000}"/>
    <cellStyle name="Normal 4 3 2 2 3 7" xfId="5042" xr:uid="{00000000-0005-0000-0000-0000B8110000}"/>
    <cellStyle name="Normal 4 3 2 2 3 8" xfId="5043" xr:uid="{00000000-0005-0000-0000-0000B9110000}"/>
    <cellStyle name="Normal 4 3 2 2 3 9" xfId="5044" xr:uid="{00000000-0005-0000-0000-0000BA110000}"/>
    <cellStyle name="Normal 4 3 2 2 4" xfId="5045" xr:uid="{00000000-0005-0000-0000-0000BB110000}"/>
    <cellStyle name="Normal 4 3 2 2 4 2" xfId="5046" xr:uid="{00000000-0005-0000-0000-0000BC110000}"/>
    <cellStyle name="Normal 4 3 2 2 4 2 2" xfId="5047" xr:uid="{00000000-0005-0000-0000-0000BD110000}"/>
    <cellStyle name="Normal 4 3 2 2 4 2 2 2" xfId="5048" xr:uid="{00000000-0005-0000-0000-0000BE110000}"/>
    <cellStyle name="Normal 4 3 2 2 4 2 2 2 2" xfId="5049" xr:uid="{00000000-0005-0000-0000-0000BF110000}"/>
    <cellStyle name="Normal 4 3 2 2 4 2 2 2 2 2" xfId="5050" xr:uid="{00000000-0005-0000-0000-0000C0110000}"/>
    <cellStyle name="Normal 4 3 2 2 4 2 2 2 2 3" xfId="5051" xr:uid="{00000000-0005-0000-0000-0000C1110000}"/>
    <cellStyle name="Normal 4 3 2 2 4 2 2 2 3" xfId="5052" xr:uid="{00000000-0005-0000-0000-0000C2110000}"/>
    <cellStyle name="Normal 4 3 2 2 4 2 2 2 4" xfId="5053" xr:uid="{00000000-0005-0000-0000-0000C3110000}"/>
    <cellStyle name="Normal 4 3 2 2 4 2 2 2 5" xfId="5054" xr:uid="{00000000-0005-0000-0000-0000C4110000}"/>
    <cellStyle name="Normal 4 3 2 2 4 2 2 3" xfId="5055" xr:uid="{00000000-0005-0000-0000-0000C5110000}"/>
    <cellStyle name="Normal 4 3 2 2 4 2 2 3 2" xfId="5056" xr:uid="{00000000-0005-0000-0000-0000C6110000}"/>
    <cellStyle name="Normal 4 3 2 2 4 2 2 3 2 2" xfId="5057" xr:uid="{00000000-0005-0000-0000-0000C7110000}"/>
    <cellStyle name="Normal 4 3 2 2 4 2 2 3 2 3" xfId="5058" xr:uid="{00000000-0005-0000-0000-0000C8110000}"/>
    <cellStyle name="Normal 4 3 2 2 4 2 2 3 3" xfId="5059" xr:uid="{00000000-0005-0000-0000-0000C9110000}"/>
    <cellStyle name="Normal 4 3 2 2 4 2 2 3 4" xfId="5060" xr:uid="{00000000-0005-0000-0000-0000CA110000}"/>
    <cellStyle name="Normal 4 3 2 2 4 2 2 3 5" xfId="5061" xr:uid="{00000000-0005-0000-0000-0000CB110000}"/>
    <cellStyle name="Normal 4 3 2 2 4 2 2 4" xfId="5062" xr:uid="{00000000-0005-0000-0000-0000CC110000}"/>
    <cellStyle name="Normal 4 3 2 2 4 2 2 4 2" xfId="5063" xr:uid="{00000000-0005-0000-0000-0000CD110000}"/>
    <cellStyle name="Normal 4 3 2 2 4 2 2 4 3" xfId="5064" xr:uid="{00000000-0005-0000-0000-0000CE110000}"/>
    <cellStyle name="Normal 4 3 2 2 4 2 2 5" xfId="5065" xr:uid="{00000000-0005-0000-0000-0000CF110000}"/>
    <cellStyle name="Normal 4 3 2 2 4 2 2 6" xfId="5066" xr:uid="{00000000-0005-0000-0000-0000D0110000}"/>
    <cellStyle name="Normal 4 3 2 2 4 2 2 7" xfId="5067" xr:uid="{00000000-0005-0000-0000-0000D1110000}"/>
    <cellStyle name="Normal 4 3 2 2 4 2 3" xfId="5068" xr:uid="{00000000-0005-0000-0000-0000D2110000}"/>
    <cellStyle name="Normal 4 3 2 2 4 2 3 2" xfId="5069" xr:uid="{00000000-0005-0000-0000-0000D3110000}"/>
    <cellStyle name="Normal 4 3 2 2 4 2 3 2 2" xfId="5070" xr:uid="{00000000-0005-0000-0000-0000D4110000}"/>
    <cellStyle name="Normal 4 3 2 2 4 2 3 2 3" xfId="5071" xr:uid="{00000000-0005-0000-0000-0000D5110000}"/>
    <cellStyle name="Normal 4 3 2 2 4 2 3 3" xfId="5072" xr:uid="{00000000-0005-0000-0000-0000D6110000}"/>
    <cellStyle name="Normal 4 3 2 2 4 2 3 4" xfId="5073" xr:uid="{00000000-0005-0000-0000-0000D7110000}"/>
    <cellStyle name="Normal 4 3 2 2 4 2 3 5" xfId="5074" xr:uid="{00000000-0005-0000-0000-0000D8110000}"/>
    <cellStyle name="Normal 4 3 2 2 4 2 4" xfId="5075" xr:uid="{00000000-0005-0000-0000-0000D9110000}"/>
    <cellStyle name="Normal 4 3 2 2 4 2 4 2" xfId="5076" xr:uid="{00000000-0005-0000-0000-0000DA110000}"/>
    <cellStyle name="Normal 4 3 2 2 4 2 4 2 2" xfId="5077" xr:uid="{00000000-0005-0000-0000-0000DB110000}"/>
    <cellStyle name="Normal 4 3 2 2 4 2 4 2 3" xfId="5078" xr:uid="{00000000-0005-0000-0000-0000DC110000}"/>
    <cellStyle name="Normal 4 3 2 2 4 2 4 3" xfId="5079" xr:uid="{00000000-0005-0000-0000-0000DD110000}"/>
    <cellStyle name="Normal 4 3 2 2 4 2 4 4" xfId="5080" xr:uid="{00000000-0005-0000-0000-0000DE110000}"/>
    <cellStyle name="Normal 4 3 2 2 4 2 4 5" xfId="5081" xr:uid="{00000000-0005-0000-0000-0000DF110000}"/>
    <cellStyle name="Normal 4 3 2 2 4 2 5" xfId="5082" xr:uid="{00000000-0005-0000-0000-0000E0110000}"/>
    <cellStyle name="Normal 4 3 2 2 4 2 5 2" xfId="5083" xr:uid="{00000000-0005-0000-0000-0000E1110000}"/>
    <cellStyle name="Normal 4 3 2 2 4 2 5 3" xfId="5084" xr:uid="{00000000-0005-0000-0000-0000E2110000}"/>
    <cellStyle name="Normal 4 3 2 2 4 2 6" xfId="5085" xr:uid="{00000000-0005-0000-0000-0000E3110000}"/>
    <cellStyle name="Normal 4 3 2 2 4 2 7" xfId="5086" xr:uid="{00000000-0005-0000-0000-0000E4110000}"/>
    <cellStyle name="Normal 4 3 2 2 4 2 8" xfId="5087" xr:uid="{00000000-0005-0000-0000-0000E5110000}"/>
    <cellStyle name="Normal 4 3 2 2 4 3" xfId="5088" xr:uid="{00000000-0005-0000-0000-0000E6110000}"/>
    <cellStyle name="Normal 4 3 2 2 4 3 2" xfId="5089" xr:uid="{00000000-0005-0000-0000-0000E7110000}"/>
    <cellStyle name="Normal 4 3 2 2 4 3 2 2" xfId="5090" xr:uid="{00000000-0005-0000-0000-0000E8110000}"/>
    <cellStyle name="Normal 4 3 2 2 4 3 2 2 2" xfId="5091" xr:uid="{00000000-0005-0000-0000-0000E9110000}"/>
    <cellStyle name="Normal 4 3 2 2 4 3 2 2 3" xfId="5092" xr:uid="{00000000-0005-0000-0000-0000EA110000}"/>
    <cellStyle name="Normal 4 3 2 2 4 3 2 3" xfId="5093" xr:uid="{00000000-0005-0000-0000-0000EB110000}"/>
    <cellStyle name="Normal 4 3 2 2 4 3 2 4" xfId="5094" xr:uid="{00000000-0005-0000-0000-0000EC110000}"/>
    <cellStyle name="Normal 4 3 2 2 4 3 2 5" xfId="5095" xr:uid="{00000000-0005-0000-0000-0000ED110000}"/>
    <cellStyle name="Normal 4 3 2 2 4 3 3" xfId="5096" xr:uid="{00000000-0005-0000-0000-0000EE110000}"/>
    <cellStyle name="Normal 4 3 2 2 4 3 3 2" xfId="5097" xr:uid="{00000000-0005-0000-0000-0000EF110000}"/>
    <cellStyle name="Normal 4 3 2 2 4 3 3 2 2" xfId="5098" xr:uid="{00000000-0005-0000-0000-0000F0110000}"/>
    <cellStyle name="Normal 4 3 2 2 4 3 3 2 3" xfId="5099" xr:uid="{00000000-0005-0000-0000-0000F1110000}"/>
    <cellStyle name="Normal 4 3 2 2 4 3 3 3" xfId="5100" xr:uid="{00000000-0005-0000-0000-0000F2110000}"/>
    <cellStyle name="Normal 4 3 2 2 4 3 3 4" xfId="5101" xr:uid="{00000000-0005-0000-0000-0000F3110000}"/>
    <cellStyle name="Normal 4 3 2 2 4 3 3 5" xfId="5102" xr:uid="{00000000-0005-0000-0000-0000F4110000}"/>
    <cellStyle name="Normal 4 3 2 2 4 3 4" xfId="5103" xr:uid="{00000000-0005-0000-0000-0000F5110000}"/>
    <cellStyle name="Normal 4 3 2 2 4 3 4 2" xfId="5104" xr:uid="{00000000-0005-0000-0000-0000F6110000}"/>
    <cellStyle name="Normal 4 3 2 2 4 3 4 3" xfId="5105" xr:uid="{00000000-0005-0000-0000-0000F7110000}"/>
    <cellStyle name="Normal 4 3 2 2 4 3 5" xfId="5106" xr:uid="{00000000-0005-0000-0000-0000F8110000}"/>
    <cellStyle name="Normal 4 3 2 2 4 3 6" xfId="5107" xr:uid="{00000000-0005-0000-0000-0000F9110000}"/>
    <cellStyle name="Normal 4 3 2 2 4 3 7" xfId="5108" xr:uid="{00000000-0005-0000-0000-0000FA110000}"/>
    <cellStyle name="Normal 4 3 2 2 4 4" xfId="5109" xr:uid="{00000000-0005-0000-0000-0000FB110000}"/>
    <cellStyle name="Normal 4 3 2 2 4 4 2" xfId="5110" xr:uid="{00000000-0005-0000-0000-0000FC110000}"/>
    <cellStyle name="Normal 4 3 2 2 4 4 2 2" xfId="5111" xr:uid="{00000000-0005-0000-0000-0000FD110000}"/>
    <cellStyle name="Normal 4 3 2 2 4 4 2 3" xfId="5112" xr:uid="{00000000-0005-0000-0000-0000FE110000}"/>
    <cellStyle name="Normal 4 3 2 2 4 4 3" xfId="5113" xr:uid="{00000000-0005-0000-0000-0000FF110000}"/>
    <cellStyle name="Normal 4 3 2 2 4 4 4" xfId="5114" xr:uid="{00000000-0005-0000-0000-000000120000}"/>
    <cellStyle name="Normal 4 3 2 2 4 4 5" xfId="5115" xr:uid="{00000000-0005-0000-0000-000001120000}"/>
    <cellStyle name="Normal 4 3 2 2 4 5" xfId="5116" xr:uid="{00000000-0005-0000-0000-000002120000}"/>
    <cellStyle name="Normal 4 3 2 2 4 5 2" xfId="5117" xr:uid="{00000000-0005-0000-0000-000003120000}"/>
    <cellStyle name="Normal 4 3 2 2 4 5 2 2" xfId="5118" xr:uid="{00000000-0005-0000-0000-000004120000}"/>
    <cellStyle name="Normal 4 3 2 2 4 5 2 3" xfId="5119" xr:uid="{00000000-0005-0000-0000-000005120000}"/>
    <cellStyle name="Normal 4 3 2 2 4 5 3" xfId="5120" xr:uid="{00000000-0005-0000-0000-000006120000}"/>
    <cellStyle name="Normal 4 3 2 2 4 5 4" xfId="5121" xr:uid="{00000000-0005-0000-0000-000007120000}"/>
    <cellStyle name="Normal 4 3 2 2 4 5 5" xfId="5122" xr:uid="{00000000-0005-0000-0000-000008120000}"/>
    <cellStyle name="Normal 4 3 2 2 4 6" xfId="5123" xr:uid="{00000000-0005-0000-0000-000009120000}"/>
    <cellStyle name="Normal 4 3 2 2 4 6 2" xfId="5124" xr:uid="{00000000-0005-0000-0000-00000A120000}"/>
    <cellStyle name="Normal 4 3 2 2 4 6 3" xfId="5125" xr:uid="{00000000-0005-0000-0000-00000B120000}"/>
    <cellStyle name="Normal 4 3 2 2 4 7" xfId="5126" xr:uid="{00000000-0005-0000-0000-00000C120000}"/>
    <cellStyle name="Normal 4 3 2 2 4 8" xfId="5127" xr:uid="{00000000-0005-0000-0000-00000D120000}"/>
    <cellStyle name="Normal 4 3 2 2 4 9" xfId="5128" xr:uid="{00000000-0005-0000-0000-00000E120000}"/>
    <cellStyle name="Normal 4 3 2 2 5" xfId="5129" xr:uid="{00000000-0005-0000-0000-00000F120000}"/>
    <cellStyle name="Normal 4 3 2 2 5 2" xfId="5130" xr:uid="{00000000-0005-0000-0000-000010120000}"/>
    <cellStyle name="Normal 4 3 2 2 5 2 2" xfId="5131" xr:uid="{00000000-0005-0000-0000-000011120000}"/>
    <cellStyle name="Normal 4 3 2 2 5 2 2 2" xfId="5132" xr:uid="{00000000-0005-0000-0000-000012120000}"/>
    <cellStyle name="Normal 4 3 2 2 5 2 2 2 2" xfId="5133" xr:uid="{00000000-0005-0000-0000-000013120000}"/>
    <cellStyle name="Normal 4 3 2 2 5 2 2 2 3" xfId="5134" xr:uid="{00000000-0005-0000-0000-000014120000}"/>
    <cellStyle name="Normal 4 3 2 2 5 2 2 3" xfId="5135" xr:uid="{00000000-0005-0000-0000-000015120000}"/>
    <cellStyle name="Normal 4 3 2 2 5 2 2 4" xfId="5136" xr:uid="{00000000-0005-0000-0000-000016120000}"/>
    <cellStyle name="Normal 4 3 2 2 5 2 2 5" xfId="5137" xr:uid="{00000000-0005-0000-0000-000017120000}"/>
    <cellStyle name="Normal 4 3 2 2 5 2 3" xfId="5138" xr:uid="{00000000-0005-0000-0000-000018120000}"/>
    <cellStyle name="Normal 4 3 2 2 5 2 3 2" xfId="5139" xr:uid="{00000000-0005-0000-0000-000019120000}"/>
    <cellStyle name="Normal 4 3 2 2 5 2 3 2 2" xfId="5140" xr:uid="{00000000-0005-0000-0000-00001A120000}"/>
    <cellStyle name="Normal 4 3 2 2 5 2 3 2 3" xfId="5141" xr:uid="{00000000-0005-0000-0000-00001B120000}"/>
    <cellStyle name="Normal 4 3 2 2 5 2 3 3" xfId="5142" xr:uid="{00000000-0005-0000-0000-00001C120000}"/>
    <cellStyle name="Normal 4 3 2 2 5 2 3 4" xfId="5143" xr:uid="{00000000-0005-0000-0000-00001D120000}"/>
    <cellStyle name="Normal 4 3 2 2 5 2 3 5" xfId="5144" xr:uid="{00000000-0005-0000-0000-00001E120000}"/>
    <cellStyle name="Normal 4 3 2 2 5 2 4" xfId="5145" xr:uid="{00000000-0005-0000-0000-00001F120000}"/>
    <cellStyle name="Normal 4 3 2 2 5 2 4 2" xfId="5146" xr:uid="{00000000-0005-0000-0000-000020120000}"/>
    <cellStyle name="Normal 4 3 2 2 5 2 4 3" xfId="5147" xr:uid="{00000000-0005-0000-0000-000021120000}"/>
    <cellStyle name="Normal 4 3 2 2 5 2 5" xfId="5148" xr:uid="{00000000-0005-0000-0000-000022120000}"/>
    <cellStyle name="Normal 4 3 2 2 5 2 6" xfId="5149" xr:uid="{00000000-0005-0000-0000-000023120000}"/>
    <cellStyle name="Normal 4 3 2 2 5 2 7" xfId="5150" xr:uid="{00000000-0005-0000-0000-000024120000}"/>
    <cellStyle name="Normal 4 3 2 2 5 3" xfId="5151" xr:uid="{00000000-0005-0000-0000-000025120000}"/>
    <cellStyle name="Normal 4 3 2 2 5 3 2" xfId="5152" xr:uid="{00000000-0005-0000-0000-000026120000}"/>
    <cellStyle name="Normal 4 3 2 2 5 3 2 2" xfId="5153" xr:uid="{00000000-0005-0000-0000-000027120000}"/>
    <cellStyle name="Normal 4 3 2 2 5 3 2 3" xfId="5154" xr:uid="{00000000-0005-0000-0000-000028120000}"/>
    <cellStyle name="Normal 4 3 2 2 5 3 3" xfId="5155" xr:uid="{00000000-0005-0000-0000-000029120000}"/>
    <cellStyle name="Normal 4 3 2 2 5 3 4" xfId="5156" xr:uid="{00000000-0005-0000-0000-00002A120000}"/>
    <cellStyle name="Normal 4 3 2 2 5 3 5" xfId="5157" xr:uid="{00000000-0005-0000-0000-00002B120000}"/>
    <cellStyle name="Normal 4 3 2 2 5 4" xfId="5158" xr:uid="{00000000-0005-0000-0000-00002C120000}"/>
    <cellStyle name="Normal 4 3 2 2 5 4 2" xfId="5159" xr:uid="{00000000-0005-0000-0000-00002D120000}"/>
    <cellStyle name="Normal 4 3 2 2 5 4 2 2" xfId="5160" xr:uid="{00000000-0005-0000-0000-00002E120000}"/>
    <cellStyle name="Normal 4 3 2 2 5 4 2 3" xfId="5161" xr:uid="{00000000-0005-0000-0000-00002F120000}"/>
    <cellStyle name="Normal 4 3 2 2 5 4 3" xfId="5162" xr:uid="{00000000-0005-0000-0000-000030120000}"/>
    <cellStyle name="Normal 4 3 2 2 5 4 4" xfId="5163" xr:uid="{00000000-0005-0000-0000-000031120000}"/>
    <cellStyle name="Normal 4 3 2 2 5 4 5" xfId="5164" xr:uid="{00000000-0005-0000-0000-000032120000}"/>
    <cellStyle name="Normal 4 3 2 2 5 5" xfId="5165" xr:uid="{00000000-0005-0000-0000-000033120000}"/>
    <cellStyle name="Normal 4 3 2 2 5 5 2" xfId="5166" xr:uid="{00000000-0005-0000-0000-000034120000}"/>
    <cellStyle name="Normal 4 3 2 2 5 5 3" xfId="5167" xr:uid="{00000000-0005-0000-0000-000035120000}"/>
    <cellStyle name="Normal 4 3 2 2 5 6" xfId="5168" xr:uid="{00000000-0005-0000-0000-000036120000}"/>
    <cellStyle name="Normal 4 3 2 2 5 7" xfId="5169" xr:uid="{00000000-0005-0000-0000-000037120000}"/>
    <cellStyle name="Normal 4 3 2 2 5 8" xfId="5170" xr:uid="{00000000-0005-0000-0000-000038120000}"/>
    <cellStyle name="Normal 4 3 2 2 6" xfId="5171" xr:uid="{00000000-0005-0000-0000-000039120000}"/>
    <cellStyle name="Normal 4 3 2 2 6 2" xfId="5172" xr:uid="{00000000-0005-0000-0000-00003A120000}"/>
    <cellStyle name="Normal 4 3 2 2 6 2 2" xfId="5173" xr:uid="{00000000-0005-0000-0000-00003B120000}"/>
    <cellStyle name="Normal 4 3 2 2 6 2 2 2" xfId="5174" xr:uid="{00000000-0005-0000-0000-00003C120000}"/>
    <cellStyle name="Normal 4 3 2 2 6 2 2 3" xfId="5175" xr:uid="{00000000-0005-0000-0000-00003D120000}"/>
    <cellStyle name="Normal 4 3 2 2 6 2 3" xfId="5176" xr:uid="{00000000-0005-0000-0000-00003E120000}"/>
    <cellStyle name="Normal 4 3 2 2 6 2 4" xfId="5177" xr:uid="{00000000-0005-0000-0000-00003F120000}"/>
    <cellStyle name="Normal 4 3 2 2 6 2 5" xfId="5178" xr:uid="{00000000-0005-0000-0000-000040120000}"/>
    <cellStyle name="Normal 4 3 2 2 6 3" xfId="5179" xr:uid="{00000000-0005-0000-0000-000041120000}"/>
    <cellStyle name="Normal 4 3 2 2 6 3 2" xfId="5180" xr:uid="{00000000-0005-0000-0000-000042120000}"/>
    <cellStyle name="Normal 4 3 2 2 6 3 2 2" xfId="5181" xr:uid="{00000000-0005-0000-0000-000043120000}"/>
    <cellStyle name="Normal 4 3 2 2 6 3 2 3" xfId="5182" xr:uid="{00000000-0005-0000-0000-000044120000}"/>
    <cellStyle name="Normal 4 3 2 2 6 3 3" xfId="5183" xr:uid="{00000000-0005-0000-0000-000045120000}"/>
    <cellStyle name="Normal 4 3 2 2 6 3 4" xfId="5184" xr:uid="{00000000-0005-0000-0000-000046120000}"/>
    <cellStyle name="Normal 4 3 2 2 6 3 5" xfId="5185" xr:uid="{00000000-0005-0000-0000-000047120000}"/>
    <cellStyle name="Normal 4 3 2 2 6 4" xfId="5186" xr:uid="{00000000-0005-0000-0000-000048120000}"/>
    <cellStyle name="Normal 4 3 2 2 6 4 2" xfId="5187" xr:uid="{00000000-0005-0000-0000-000049120000}"/>
    <cellStyle name="Normal 4 3 2 2 6 4 3" xfId="5188" xr:uid="{00000000-0005-0000-0000-00004A120000}"/>
    <cellStyle name="Normal 4 3 2 2 6 5" xfId="5189" xr:uid="{00000000-0005-0000-0000-00004B120000}"/>
    <cellStyle name="Normal 4 3 2 2 6 6" xfId="5190" xr:uid="{00000000-0005-0000-0000-00004C120000}"/>
    <cellStyle name="Normal 4 3 2 2 6 7" xfId="5191" xr:uid="{00000000-0005-0000-0000-00004D120000}"/>
    <cellStyle name="Normal 4 3 2 2 7" xfId="5192" xr:uid="{00000000-0005-0000-0000-00004E120000}"/>
    <cellStyle name="Normal 4 3 2 2 7 2" xfId="5193" xr:uid="{00000000-0005-0000-0000-00004F120000}"/>
    <cellStyle name="Normal 4 3 2 2 7 2 2" xfId="5194" xr:uid="{00000000-0005-0000-0000-000050120000}"/>
    <cellStyle name="Normal 4 3 2 2 7 2 2 2" xfId="5195" xr:uid="{00000000-0005-0000-0000-000051120000}"/>
    <cellStyle name="Normal 4 3 2 2 7 2 2 3" xfId="5196" xr:uid="{00000000-0005-0000-0000-000052120000}"/>
    <cellStyle name="Normal 4 3 2 2 7 2 3" xfId="5197" xr:uid="{00000000-0005-0000-0000-000053120000}"/>
    <cellStyle name="Normal 4 3 2 2 7 2 4" xfId="5198" xr:uid="{00000000-0005-0000-0000-000054120000}"/>
    <cellStyle name="Normal 4 3 2 2 7 2 5" xfId="5199" xr:uid="{00000000-0005-0000-0000-000055120000}"/>
    <cellStyle name="Normal 4 3 2 2 7 3" xfId="5200" xr:uid="{00000000-0005-0000-0000-000056120000}"/>
    <cellStyle name="Normal 4 3 2 2 7 3 2" xfId="5201" xr:uid="{00000000-0005-0000-0000-000057120000}"/>
    <cellStyle name="Normal 4 3 2 2 7 3 2 2" xfId="5202" xr:uid="{00000000-0005-0000-0000-000058120000}"/>
    <cellStyle name="Normal 4 3 2 2 7 3 2 3" xfId="5203" xr:uid="{00000000-0005-0000-0000-000059120000}"/>
    <cellStyle name="Normal 4 3 2 2 7 3 3" xfId="5204" xr:uid="{00000000-0005-0000-0000-00005A120000}"/>
    <cellStyle name="Normal 4 3 2 2 7 3 4" xfId="5205" xr:uid="{00000000-0005-0000-0000-00005B120000}"/>
    <cellStyle name="Normal 4 3 2 2 7 3 5" xfId="5206" xr:uid="{00000000-0005-0000-0000-00005C120000}"/>
    <cellStyle name="Normal 4 3 2 2 7 4" xfId="5207" xr:uid="{00000000-0005-0000-0000-00005D120000}"/>
    <cellStyle name="Normal 4 3 2 2 7 4 2" xfId="5208" xr:uid="{00000000-0005-0000-0000-00005E120000}"/>
    <cellStyle name="Normal 4 3 2 2 7 4 3" xfId="5209" xr:uid="{00000000-0005-0000-0000-00005F120000}"/>
    <cellStyle name="Normal 4 3 2 2 7 5" xfId="5210" xr:uid="{00000000-0005-0000-0000-000060120000}"/>
    <cellStyle name="Normal 4 3 2 2 7 6" xfId="5211" xr:uid="{00000000-0005-0000-0000-000061120000}"/>
    <cellStyle name="Normal 4 3 2 2 7 7" xfId="5212" xr:uid="{00000000-0005-0000-0000-000062120000}"/>
    <cellStyle name="Normal 4 3 2 2 8" xfId="5213" xr:uid="{00000000-0005-0000-0000-000063120000}"/>
    <cellStyle name="Normal 4 3 2 2 8 2" xfId="5214" xr:uid="{00000000-0005-0000-0000-000064120000}"/>
    <cellStyle name="Normal 4 3 2 2 8 2 2" xfId="5215" xr:uid="{00000000-0005-0000-0000-000065120000}"/>
    <cellStyle name="Normal 4 3 2 2 8 2 3" xfId="5216" xr:uid="{00000000-0005-0000-0000-000066120000}"/>
    <cellStyle name="Normal 4 3 2 2 8 3" xfId="5217" xr:uid="{00000000-0005-0000-0000-000067120000}"/>
    <cellStyle name="Normal 4 3 2 2 8 4" xfId="5218" xr:uid="{00000000-0005-0000-0000-000068120000}"/>
    <cellStyle name="Normal 4 3 2 2 8 5" xfId="5219" xr:uid="{00000000-0005-0000-0000-000069120000}"/>
    <cellStyle name="Normal 4 3 2 2 9" xfId="5220" xr:uid="{00000000-0005-0000-0000-00006A120000}"/>
    <cellStyle name="Normal 4 3 2 2 9 2" xfId="5221" xr:uid="{00000000-0005-0000-0000-00006B120000}"/>
    <cellStyle name="Normal 4 3 2 2 9 2 2" xfId="5222" xr:uid="{00000000-0005-0000-0000-00006C120000}"/>
    <cellStyle name="Normal 4 3 2 2 9 2 3" xfId="5223" xr:uid="{00000000-0005-0000-0000-00006D120000}"/>
    <cellStyle name="Normal 4 3 2 2 9 3" xfId="5224" xr:uid="{00000000-0005-0000-0000-00006E120000}"/>
    <cellStyle name="Normal 4 3 2 2 9 4" xfId="5225" xr:uid="{00000000-0005-0000-0000-00006F120000}"/>
    <cellStyle name="Normal 4 3 2 2 9 5" xfId="5226" xr:uid="{00000000-0005-0000-0000-000070120000}"/>
    <cellStyle name="Normal 4 3 2 3" xfId="5227" xr:uid="{00000000-0005-0000-0000-000071120000}"/>
    <cellStyle name="Normal 4 3 2 3 2" xfId="5228" xr:uid="{00000000-0005-0000-0000-000072120000}"/>
    <cellStyle name="Normal 4 3 2 3 2 2" xfId="5229" xr:uid="{00000000-0005-0000-0000-000073120000}"/>
    <cellStyle name="Normal 4 3 2 3 2 2 2" xfId="5230" xr:uid="{00000000-0005-0000-0000-000074120000}"/>
    <cellStyle name="Normal 4 3 2 3 2 2 2 2" xfId="5231" xr:uid="{00000000-0005-0000-0000-000075120000}"/>
    <cellStyle name="Normal 4 3 2 3 2 2 2 2 2" xfId="5232" xr:uid="{00000000-0005-0000-0000-000076120000}"/>
    <cellStyle name="Normal 4 3 2 3 2 2 2 2 3" xfId="5233" xr:uid="{00000000-0005-0000-0000-000077120000}"/>
    <cellStyle name="Normal 4 3 2 3 2 2 2 3" xfId="5234" xr:uid="{00000000-0005-0000-0000-000078120000}"/>
    <cellStyle name="Normal 4 3 2 3 2 2 2 4" xfId="5235" xr:uid="{00000000-0005-0000-0000-000079120000}"/>
    <cellStyle name="Normal 4 3 2 3 2 2 2 5" xfId="5236" xr:uid="{00000000-0005-0000-0000-00007A120000}"/>
    <cellStyle name="Normal 4 3 2 3 2 2 3" xfId="5237" xr:uid="{00000000-0005-0000-0000-00007B120000}"/>
    <cellStyle name="Normal 4 3 2 3 2 2 3 2" xfId="5238" xr:uid="{00000000-0005-0000-0000-00007C120000}"/>
    <cellStyle name="Normal 4 3 2 3 2 2 3 2 2" xfId="5239" xr:uid="{00000000-0005-0000-0000-00007D120000}"/>
    <cellStyle name="Normal 4 3 2 3 2 2 3 2 3" xfId="5240" xr:uid="{00000000-0005-0000-0000-00007E120000}"/>
    <cellStyle name="Normal 4 3 2 3 2 2 3 3" xfId="5241" xr:uid="{00000000-0005-0000-0000-00007F120000}"/>
    <cellStyle name="Normal 4 3 2 3 2 2 3 4" xfId="5242" xr:uid="{00000000-0005-0000-0000-000080120000}"/>
    <cellStyle name="Normal 4 3 2 3 2 2 3 5" xfId="5243" xr:uid="{00000000-0005-0000-0000-000081120000}"/>
    <cellStyle name="Normal 4 3 2 3 2 2 4" xfId="5244" xr:uid="{00000000-0005-0000-0000-000082120000}"/>
    <cellStyle name="Normal 4 3 2 3 2 2 4 2" xfId="5245" xr:uid="{00000000-0005-0000-0000-000083120000}"/>
    <cellStyle name="Normal 4 3 2 3 2 2 4 3" xfId="5246" xr:uid="{00000000-0005-0000-0000-000084120000}"/>
    <cellStyle name="Normal 4 3 2 3 2 2 5" xfId="5247" xr:uid="{00000000-0005-0000-0000-000085120000}"/>
    <cellStyle name="Normal 4 3 2 3 2 2 6" xfId="5248" xr:uid="{00000000-0005-0000-0000-000086120000}"/>
    <cellStyle name="Normal 4 3 2 3 2 2 7" xfId="5249" xr:uid="{00000000-0005-0000-0000-000087120000}"/>
    <cellStyle name="Normal 4 3 2 3 2 3" xfId="5250" xr:uid="{00000000-0005-0000-0000-000088120000}"/>
    <cellStyle name="Normal 4 3 2 3 2 3 2" xfId="5251" xr:uid="{00000000-0005-0000-0000-000089120000}"/>
    <cellStyle name="Normal 4 3 2 3 2 3 2 2" xfId="5252" xr:uid="{00000000-0005-0000-0000-00008A120000}"/>
    <cellStyle name="Normal 4 3 2 3 2 3 2 3" xfId="5253" xr:uid="{00000000-0005-0000-0000-00008B120000}"/>
    <cellStyle name="Normal 4 3 2 3 2 3 3" xfId="5254" xr:uid="{00000000-0005-0000-0000-00008C120000}"/>
    <cellStyle name="Normal 4 3 2 3 2 3 4" xfId="5255" xr:uid="{00000000-0005-0000-0000-00008D120000}"/>
    <cellStyle name="Normal 4 3 2 3 2 3 5" xfId="5256" xr:uid="{00000000-0005-0000-0000-00008E120000}"/>
    <cellStyle name="Normal 4 3 2 3 2 4" xfId="5257" xr:uid="{00000000-0005-0000-0000-00008F120000}"/>
    <cellStyle name="Normal 4 3 2 3 2 4 2" xfId="5258" xr:uid="{00000000-0005-0000-0000-000090120000}"/>
    <cellStyle name="Normal 4 3 2 3 2 4 2 2" xfId="5259" xr:uid="{00000000-0005-0000-0000-000091120000}"/>
    <cellStyle name="Normal 4 3 2 3 2 4 2 3" xfId="5260" xr:uid="{00000000-0005-0000-0000-000092120000}"/>
    <cellStyle name="Normal 4 3 2 3 2 4 3" xfId="5261" xr:uid="{00000000-0005-0000-0000-000093120000}"/>
    <cellStyle name="Normal 4 3 2 3 2 4 4" xfId="5262" xr:uid="{00000000-0005-0000-0000-000094120000}"/>
    <cellStyle name="Normal 4 3 2 3 2 4 5" xfId="5263" xr:uid="{00000000-0005-0000-0000-000095120000}"/>
    <cellStyle name="Normal 4 3 2 3 2 5" xfId="5264" xr:uid="{00000000-0005-0000-0000-000096120000}"/>
    <cellStyle name="Normal 4 3 2 3 2 5 2" xfId="5265" xr:uid="{00000000-0005-0000-0000-000097120000}"/>
    <cellStyle name="Normal 4 3 2 3 2 5 3" xfId="5266" xr:uid="{00000000-0005-0000-0000-000098120000}"/>
    <cellStyle name="Normal 4 3 2 3 2 6" xfId="5267" xr:uid="{00000000-0005-0000-0000-000099120000}"/>
    <cellStyle name="Normal 4 3 2 3 2 7" xfId="5268" xr:uid="{00000000-0005-0000-0000-00009A120000}"/>
    <cellStyle name="Normal 4 3 2 3 2 8" xfId="5269" xr:uid="{00000000-0005-0000-0000-00009B120000}"/>
    <cellStyle name="Normal 4 3 2 3 3" xfId="5270" xr:uid="{00000000-0005-0000-0000-00009C120000}"/>
    <cellStyle name="Normal 4 3 2 3 3 2" xfId="5271" xr:uid="{00000000-0005-0000-0000-00009D120000}"/>
    <cellStyle name="Normal 4 3 2 3 3 2 2" xfId="5272" xr:uid="{00000000-0005-0000-0000-00009E120000}"/>
    <cellStyle name="Normal 4 3 2 3 3 2 2 2" xfId="5273" xr:uid="{00000000-0005-0000-0000-00009F120000}"/>
    <cellStyle name="Normal 4 3 2 3 3 2 2 3" xfId="5274" xr:uid="{00000000-0005-0000-0000-0000A0120000}"/>
    <cellStyle name="Normal 4 3 2 3 3 2 3" xfId="5275" xr:uid="{00000000-0005-0000-0000-0000A1120000}"/>
    <cellStyle name="Normal 4 3 2 3 3 2 4" xfId="5276" xr:uid="{00000000-0005-0000-0000-0000A2120000}"/>
    <cellStyle name="Normal 4 3 2 3 3 2 5" xfId="5277" xr:uid="{00000000-0005-0000-0000-0000A3120000}"/>
    <cellStyle name="Normal 4 3 2 3 3 3" xfId="5278" xr:uid="{00000000-0005-0000-0000-0000A4120000}"/>
    <cellStyle name="Normal 4 3 2 3 3 3 2" xfId="5279" xr:uid="{00000000-0005-0000-0000-0000A5120000}"/>
    <cellStyle name="Normal 4 3 2 3 3 3 2 2" xfId="5280" xr:uid="{00000000-0005-0000-0000-0000A6120000}"/>
    <cellStyle name="Normal 4 3 2 3 3 3 2 3" xfId="5281" xr:uid="{00000000-0005-0000-0000-0000A7120000}"/>
    <cellStyle name="Normal 4 3 2 3 3 3 3" xfId="5282" xr:uid="{00000000-0005-0000-0000-0000A8120000}"/>
    <cellStyle name="Normal 4 3 2 3 3 3 4" xfId="5283" xr:uid="{00000000-0005-0000-0000-0000A9120000}"/>
    <cellStyle name="Normal 4 3 2 3 3 3 5" xfId="5284" xr:uid="{00000000-0005-0000-0000-0000AA120000}"/>
    <cellStyle name="Normal 4 3 2 3 3 4" xfId="5285" xr:uid="{00000000-0005-0000-0000-0000AB120000}"/>
    <cellStyle name="Normal 4 3 2 3 3 4 2" xfId="5286" xr:uid="{00000000-0005-0000-0000-0000AC120000}"/>
    <cellStyle name="Normal 4 3 2 3 3 4 3" xfId="5287" xr:uid="{00000000-0005-0000-0000-0000AD120000}"/>
    <cellStyle name="Normal 4 3 2 3 3 5" xfId="5288" xr:uid="{00000000-0005-0000-0000-0000AE120000}"/>
    <cellStyle name="Normal 4 3 2 3 3 6" xfId="5289" xr:uid="{00000000-0005-0000-0000-0000AF120000}"/>
    <cellStyle name="Normal 4 3 2 3 3 7" xfId="5290" xr:uid="{00000000-0005-0000-0000-0000B0120000}"/>
    <cellStyle name="Normal 4 3 2 3 4" xfId="5291" xr:uid="{00000000-0005-0000-0000-0000B1120000}"/>
    <cellStyle name="Normal 4 3 2 3 4 2" xfId="5292" xr:uid="{00000000-0005-0000-0000-0000B2120000}"/>
    <cellStyle name="Normal 4 3 2 3 4 2 2" xfId="5293" xr:uid="{00000000-0005-0000-0000-0000B3120000}"/>
    <cellStyle name="Normal 4 3 2 3 4 2 3" xfId="5294" xr:uid="{00000000-0005-0000-0000-0000B4120000}"/>
    <cellStyle name="Normal 4 3 2 3 4 3" xfId="5295" xr:uid="{00000000-0005-0000-0000-0000B5120000}"/>
    <cellStyle name="Normal 4 3 2 3 4 4" xfId="5296" xr:uid="{00000000-0005-0000-0000-0000B6120000}"/>
    <cellStyle name="Normal 4 3 2 3 4 5" xfId="5297" xr:uid="{00000000-0005-0000-0000-0000B7120000}"/>
    <cellStyle name="Normal 4 3 2 3 5" xfId="5298" xr:uid="{00000000-0005-0000-0000-0000B8120000}"/>
    <cellStyle name="Normal 4 3 2 3 5 2" xfId="5299" xr:uid="{00000000-0005-0000-0000-0000B9120000}"/>
    <cellStyle name="Normal 4 3 2 3 5 2 2" xfId="5300" xr:uid="{00000000-0005-0000-0000-0000BA120000}"/>
    <cellStyle name="Normal 4 3 2 3 5 2 3" xfId="5301" xr:uid="{00000000-0005-0000-0000-0000BB120000}"/>
    <cellStyle name="Normal 4 3 2 3 5 3" xfId="5302" xr:uid="{00000000-0005-0000-0000-0000BC120000}"/>
    <cellStyle name="Normal 4 3 2 3 5 4" xfId="5303" xr:uid="{00000000-0005-0000-0000-0000BD120000}"/>
    <cellStyle name="Normal 4 3 2 3 5 5" xfId="5304" xr:uid="{00000000-0005-0000-0000-0000BE120000}"/>
    <cellStyle name="Normal 4 3 2 3 6" xfId="5305" xr:uid="{00000000-0005-0000-0000-0000BF120000}"/>
    <cellStyle name="Normal 4 3 2 3 6 2" xfId="5306" xr:uid="{00000000-0005-0000-0000-0000C0120000}"/>
    <cellStyle name="Normal 4 3 2 3 6 3" xfId="5307" xr:uid="{00000000-0005-0000-0000-0000C1120000}"/>
    <cellStyle name="Normal 4 3 2 3 7" xfId="5308" xr:uid="{00000000-0005-0000-0000-0000C2120000}"/>
    <cellStyle name="Normal 4 3 2 3 8" xfId="5309" xr:uid="{00000000-0005-0000-0000-0000C3120000}"/>
    <cellStyle name="Normal 4 3 2 3 9" xfId="5310" xr:uid="{00000000-0005-0000-0000-0000C4120000}"/>
    <cellStyle name="Normal 4 3 2 4" xfId="5311" xr:uid="{00000000-0005-0000-0000-0000C5120000}"/>
    <cellStyle name="Normal 4 3 2 4 2" xfId="5312" xr:uid="{00000000-0005-0000-0000-0000C6120000}"/>
    <cellStyle name="Normal 4 3 2 4 2 2" xfId="5313" xr:uid="{00000000-0005-0000-0000-0000C7120000}"/>
    <cellStyle name="Normal 4 3 2 4 2 2 2" xfId="5314" xr:uid="{00000000-0005-0000-0000-0000C8120000}"/>
    <cellStyle name="Normal 4 3 2 4 2 2 2 2" xfId="5315" xr:uid="{00000000-0005-0000-0000-0000C9120000}"/>
    <cellStyle name="Normal 4 3 2 4 2 2 2 2 2" xfId="5316" xr:uid="{00000000-0005-0000-0000-0000CA120000}"/>
    <cellStyle name="Normal 4 3 2 4 2 2 2 2 3" xfId="5317" xr:uid="{00000000-0005-0000-0000-0000CB120000}"/>
    <cellStyle name="Normal 4 3 2 4 2 2 2 3" xfId="5318" xr:uid="{00000000-0005-0000-0000-0000CC120000}"/>
    <cellStyle name="Normal 4 3 2 4 2 2 2 4" xfId="5319" xr:uid="{00000000-0005-0000-0000-0000CD120000}"/>
    <cellStyle name="Normal 4 3 2 4 2 2 2 5" xfId="5320" xr:uid="{00000000-0005-0000-0000-0000CE120000}"/>
    <cellStyle name="Normal 4 3 2 4 2 2 3" xfId="5321" xr:uid="{00000000-0005-0000-0000-0000CF120000}"/>
    <cellStyle name="Normal 4 3 2 4 2 2 3 2" xfId="5322" xr:uid="{00000000-0005-0000-0000-0000D0120000}"/>
    <cellStyle name="Normal 4 3 2 4 2 2 3 2 2" xfId="5323" xr:uid="{00000000-0005-0000-0000-0000D1120000}"/>
    <cellStyle name="Normal 4 3 2 4 2 2 3 2 3" xfId="5324" xr:uid="{00000000-0005-0000-0000-0000D2120000}"/>
    <cellStyle name="Normal 4 3 2 4 2 2 3 3" xfId="5325" xr:uid="{00000000-0005-0000-0000-0000D3120000}"/>
    <cellStyle name="Normal 4 3 2 4 2 2 3 4" xfId="5326" xr:uid="{00000000-0005-0000-0000-0000D4120000}"/>
    <cellStyle name="Normal 4 3 2 4 2 2 3 5" xfId="5327" xr:uid="{00000000-0005-0000-0000-0000D5120000}"/>
    <cellStyle name="Normal 4 3 2 4 2 2 4" xfId="5328" xr:uid="{00000000-0005-0000-0000-0000D6120000}"/>
    <cellStyle name="Normal 4 3 2 4 2 2 4 2" xfId="5329" xr:uid="{00000000-0005-0000-0000-0000D7120000}"/>
    <cellStyle name="Normal 4 3 2 4 2 2 4 3" xfId="5330" xr:uid="{00000000-0005-0000-0000-0000D8120000}"/>
    <cellStyle name="Normal 4 3 2 4 2 2 5" xfId="5331" xr:uid="{00000000-0005-0000-0000-0000D9120000}"/>
    <cellStyle name="Normal 4 3 2 4 2 2 6" xfId="5332" xr:uid="{00000000-0005-0000-0000-0000DA120000}"/>
    <cellStyle name="Normal 4 3 2 4 2 2 7" xfId="5333" xr:uid="{00000000-0005-0000-0000-0000DB120000}"/>
    <cellStyle name="Normal 4 3 2 4 2 3" xfId="5334" xr:uid="{00000000-0005-0000-0000-0000DC120000}"/>
    <cellStyle name="Normal 4 3 2 4 2 3 2" xfId="5335" xr:uid="{00000000-0005-0000-0000-0000DD120000}"/>
    <cellStyle name="Normal 4 3 2 4 2 3 2 2" xfId="5336" xr:uid="{00000000-0005-0000-0000-0000DE120000}"/>
    <cellStyle name="Normal 4 3 2 4 2 3 2 3" xfId="5337" xr:uid="{00000000-0005-0000-0000-0000DF120000}"/>
    <cellStyle name="Normal 4 3 2 4 2 3 3" xfId="5338" xr:uid="{00000000-0005-0000-0000-0000E0120000}"/>
    <cellStyle name="Normal 4 3 2 4 2 3 4" xfId="5339" xr:uid="{00000000-0005-0000-0000-0000E1120000}"/>
    <cellStyle name="Normal 4 3 2 4 2 3 5" xfId="5340" xr:uid="{00000000-0005-0000-0000-0000E2120000}"/>
    <cellStyle name="Normal 4 3 2 4 2 4" xfId="5341" xr:uid="{00000000-0005-0000-0000-0000E3120000}"/>
    <cellStyle name="Normal 4 3 2 4 2 4 2" xfId="5342" xr:uid="{00000000-0005-0000-0000-0000E4120000}"/>
    <cellStyle name="Normal 4 3 2 4 2 4 2 2" xfId="5343" xr:uid="{00000000-0005-0000-0000-0000E5120000}"/>
    <cellStyle name="Normal 4 3 2 4 2 4 2 3" xfId="5344" xr:uid="{00000000-0005-0000-0000-0000E6120000}"/>
    <cellStyle name="Normal 4 3 2 4 2 4 3" xfId="5345" xr:uid="{00000000-0005-0000-0000-0000E7120000}"/>
    <cellStyle name="Normal 4 3 2 4 2 4 4" xfId="5346" xr:uid="{00000000-0005-0000-0000-0000E8120000}"/>
    <cellStyle name="Normal 4 3 2 4 2 4 5" xfId="5347" xr:uid="{00000000-0005-0000-0000-0000E9120000}"/>
    <cellStyle name="Normal 4 3 2 4 2 5" xfId="5348" xr:uid="{00000000-0005-0000-0000-0000EA120000}"/>
    <cellStyle name="Normal 4 3 2 4 2 5 2" xfId="5349" xr:uid="{00000000-0005-0000-0000-0000EB120000}"/>
    <cellStyle name="Normal 4 3 2 4 2 5 3" xfId="5350" xr:uid="{00000000-0005-0000-0000-0000EC120000}"/>
    <cellStyle name="Normal 4 3 2 4 2 6" xfId="5351" xr:uid="{00000000-0005-0000-0000-0000ED120000}"/>
    <cellStyle name="Normal 4 3 2 4 2 7" xfId="5352" xr:uid="{00000000-0005-0000-0000-0000EE120000}"/>
    <cellStyle name="Normal 4 3 2 4 2 8" xfId="5353" xr:uid="{00000000-0005-0000-0000-0000EF120000}"/>
    <cellStyle name="Normal 4 3 2 4 3" xfId="5354" xr:uid="{00000000-0005-0000-0000-0000F0120000}"/>
    <cellStyle name="Normal 4 3 2 4 3 2" xfId="5355" xr:uid="{00000000-0005-0000-0000-0000F1120000}"/>
    <cellStyle name="Normal 4 3 2 4 3 2 2" xfId="5356" xr:uid="{00000000-0005-0000-0000-0000F2120000}"/>
    <cellStyle name="Normal 4 3 2 4 3 2 2 2" xfId="5357" xr:uid="{00000000-0005-0000-0000-0000F3120000}"/>
    <cellStyle name="Normal 4 3 2 4 3 2 2 3" xfId="5358" xr:uid="{00000000-0005-0000-0000-0000F4120000}"/>
    <cellStyle name="Normal 4 3 2 4 3 2 3" xfId="5359" xr:uid="{00000000-0005-0000-0000-0000F5120000}"/>
    <cellStyle name="Normal 4 3 2 4 3 2 4" xfId="5360" xr:uid="{00000000-0005-0000-0000-0000F6120000}"/>
    <cellStyle name="Normal 4 3 2 4 3 2 5" xfId="5361" xr:uid="{00000000-0005-0000-0000-0000F7120000}"/>
    <cellStyle name="Normal 4 3 2 4 3 3" xfId="5362" xr:uid="{00000000-0005-0000-0000-0000F8120000}"/>
    <cellStyle name="Normal 4 3 2 4 3 3 2" xfId="5363" xr:uid="{00000000-0005-0000-0000-0000F9120000}"/>
    <cellStyle name="Normal 4 3 2 4 3 3 2 2" xfId="5364" xr:uid="{00000000-0005-0000-0000-0000FA120000}"/>
    <cellStyle name="Normal 4 3 2 4 3 3 2 3" xfId="5365" xr:uid="{00000000-0005-0000-0000-0000FB120000}"/>
    <cellStyle name="Normal 4 3 2 4 3 3 3" xfId="5366" xr:uid="{00000000-0005-0000-0000-0000FC120000}"/>
    <cellStyle name="Normal 4 3 2 4 3 3 4" xfId="5367" xr:uid="{00000000-0005-0000-0000-0000FD120000}"/>
    <cellStyle name="Normal 4 3 2 4 3 3 5" xfId="5368" xr:uid="{00000000-0005-0000-0000-0000FE120000}"/>
    <cellStyle name="Normal 4 3 2 4 3 4" xfId="5369" xr:uid="{00000000-0005-0000-0000-0000FF120000}"/>
    <cellStyle name="Normal 4 3 2 4 3 4 2" xfId="5370" xr:uid="{00000000-0005-0000-0000-000000130000}"/>
    <cellStyle name="Normal 4 3 2 4 3 4 3" xfId="5371" xr:uid="{00000000-0005-0000-0000-000001130000}"/>
    <cellStyle name="Normal 4 3 2 4 3 5" xfId="5372" xr:uid="{00000000-0005-0000-0000-000002130000}"/>
    <cellStyle name="Normal 4 3 2 4 3 6" xfId="5373" xr:uid="{00000000-0005-0000-0000-000003130000}"/>
    <cellStyle name="Normal 4 3 2 4 3 7" xfId="5374" xr:uid="{00000000-0005-0000-0000-000004130000}"/>
    <cellStyle name="Normal 4 3 2 4 4" xfId="5375" xr:uid="{00000000-0005-0000-0000-000005130000}"/>
    <cellStyle name="Normal 4 3 2 4 4 2" xfId="5376" xr:uid="{00000000-0005-0000-0000-000006130000}"/>
    <cellStyle name="Normal 4 3 2 4 4 2 2" xfId="5377" xr:uid="{00000000-0005-0000-0000-000007130000}"/>
    <cellStyle name="Normal 4 3 2 4 4 2 3" xfId="5378" xr:uid="{00000000-0005-0000-0000-000008130000}"/>
    <cellStyle name="Normal 4 3 2 4 4 3" xfId="5379" xr:uid="{00000000-0005-0000-0000-000009130000}"/>
    <cellStyle name="Normal 4 3 2 4 4 4" xfId="5380" xr:uid="{00000000-0005-0000-0000-00000A130000}"/>
    <cellStyle name="Normal 4 3 2 4 4 5" xfId="5381" xr:uid="{00000000-0005-0000-0000-00000B130000}"/>
    <cellStyle name="Normal 4 3 2 4 5" xfId="5382" xr:uid="{00000000-0005-0000-0000-00000C130000}"/>
    <cellStyle name="Normal 4 3 2 4 5 2" xfId="5383" xr:uid="{00000000-0005-0000-0000-00000D130000}"/>
    <cellStyle name="Normal 4 3 2 4 5 2 2" xfId="5384" xr:uid="{00000000-0005-0000-0000-00000E130000}"/>
    <cellStyle name="Normal 4 3 2 4 5 2 3" xfId="5385" xr:uid="{00000000-0005-0000-0000-00000F130000}"/>
    <cellStyle name="Normal 4 3 2 4 5 3" xfId="5386" xr:uid="{00000000-0005-0000-0000-000010130000}"/>
    <cellStyle name="Normal 4 3 2 4 5 4" xfId="5387" xr:uid="{00000000-0005-0000-0000-000011130000}"/>
    <cellStyle name="Normal 4 3 2 4 5 5" xfId="5388" xr:uid="{00000000-0005-0000-0000-000012130000}"/>
    <cellStyle name="Normal 4 3 2 4 6" xfId="5389" xr:uid="{00000000-0005-0000-0000-000013130000}"/>
    <cellStyle name="Normal 4 3 2 4 6 2" xfId="5390" xr:uid="{00000000-0005-0000-0000-000014130000}"/>
    <cellStyle name="Normal 4 3 2 4 6 3" xfId="5391" xr:uid="{00000000-0005-0000-0000-000015130000}"/>
    <cellStyle name="Normal 4 3 2 4 7" xfId="5392" xr:uid="{00000000-0005-0000-0000-000016130000}"/>
    <cellStyle name="Normal 4 3 2 4 8" xfId="5393" xr:uid="{00000000-0005-0000-0000-000017130000}"/>
    <cellStyle name="Normal 4 3 2 4 9" xfId="5394" xr:uid="{00000000-0005-0000-0000-000018130000}"/>
    <cellStyle name="Normal 4 3 2 5" xfId="5395" xr:uid="{00000000-0005-0000-0000-000019130000}"/>
    <cellStyle name="Normal 4 3 2 5 2" xfId="5396" xr:uid="{00000000-0005-0000-0000-00001A130000}"/>
    <cellStyle name="Normal 4 3 2 5 2 2" xfId="5397" xr:uid="{00000000-0005-0000-0000-00001B130000}"/>
    <cellStyle name="Normal 4 3 2 5 2 2 2" xfId="5398" xr:uid="{00000000-0005-0000-0000-00001C130000}"/>
    <cellStyle name="Normal 4 3 2 5 2 2 2 2" xfId="5399" xr:uid="{00000000-0005-0000-0000-00001D130000}"/>
    <cellStyle name="Normal 4 3 2 5 2 2 2 2 2" xfId="5400" xr:uid="{00000000-0005-0000-0000-00001E130000}"/>
    <cellStyle name="Normal 4 3 2 5 2 2 2 2 3" xfId="5401" xr:uid="{00000000-0005-0000-0000-00001F130000}"/>
    <cellStyle name="Normal 4 3 2 5 2 2 2 3" xfId="5402" xr:uid="{00000000-0005-0000-0000-000020130000}"/>
    <cellStyle name="Normal 4 3 2 5 2 2 2 4" xfId="5403" xr:uid="{00000000-0005-0000-0000-000021130000}"/>
    <cellStyle name="Normal 4 3 2 5 2 2 2 5" xfId="5404" xr:uid="{00000000-0005-0000-0000-000022130000}"/>
    <cellStyle name="Normal 4 3 2 5 2 2 3" xfId="5405" xr:uid="{00000000-0005-0000-0000-000023130000}"/>
    <cellStyle name="Normal 4 3 2 5 2 2 3 2" xfId="5406" xr:uid="{00000000-0005-0000-0000-000024130000}"/>
    <cellStyle name="Normal 4 3 2 5 2 2 3 2 2" xfId="5407" xr:uid="{00000000-0005-0000-0000-000025130000}"/>
    <cellStyle name="Normal 4 3 2 5 2 2 3 2 3" xfId="5408" xr:uid="{00000000-0005-0000-0000-000026130000}"/>
    <cellStyle name="Normal 4 3 2 5 2 2 3 3" xfId="5409" xr:uid="{00000000-0005-0000-0000-000027130000}"/>
    <cellStyle name="Normal 4 3 2 5 2 2 3 4" xfId="5410" xr:uid="{00000000-0005-0000-0000-000028130000}"/>
    <cellStyle name="Normal 4 3 2 5 2 2 3 5" xfId="5411" xr:uid="{00000000-0005-0000-0000-000029130000}"/>
    <cellStyle name="Normal 4 3 2 5 2 2 4" xfId="5412" xr:uid="{00000000-0005-0000-0000-00002A130000}"/>
    <cellStyle name="Normal 4 3 2 5 2 2 4 2" xfId="5413" xr:uid="{00000000-0005-0000-0000-00002B130000}"/>
    <cellStyle name="Normal 4 3 2 5 2 2 4 3" xfId="5414" xr:uid="{00000000-0005-0000-0000-00002C130000}"/>
    <cellStyle name="Normal 4 3 2 5 2 2 5" xfId="5415" xr:uid="{00000000-0005-0000-0000-00002D130000}"/>
    <cellStyle name="Normal 4 3 2 5 2 2 6" xfId="5416" xr:uid="{00000000-0005-0000-0000-00002E130000}"/>
    <cellStyle name="Normal 4 3 2 5 2 2 7" xfId="5417" xr:uid="{00000000-0005-0000-0000-00002F130000}"/>
    <cellStyle name="Normal 4 3 2 5 2 3" xfId="5418" xr:uid="{00000000-0005-0000-0000-000030130000}"/>
    <cellStyle name="Normal 4 3 2 5 2 3 2" xfId="5419" xr:uid="{00000000-0005-0000-0000-000031130000}"/>
    <cellStyle name="Normal 4 3 2 5 2 3 2 2" xfId="5420" xr:uid="{00000000-0005-0000-0000-000032130000}"/>
    <cellStyle name="Normal 4 3 2 5 2 3 2 3" xfId="5421" xr:uid="{00000000-0005-0000-0000-000033130000}"/>
    <cellStyle name="Normal 4 3 2 5 2 3 3" xfId="5422" xr:uid="{00000000-0005-0000-0000-000034130000}"/>
    <cellStyle name="Normal 4 3 2 5 2 3 4" xfId="5423" xr:uid="{00000000-0005-0000-0000-000035130000}"/>
    <cellStyle name="Normal 4 3 2 5 2 3 5" xfId="5424" xr:uid="{00000000-0005-0000-0000-000036130000}"/>
    <cellStyle name="Normal 4 3 2 5 2 4" xfId="5425" xr:uid="{00000000-0005-0000-0000-000037130000}"/>
    <cellStyle name="Normal 4 3 2 5 2 4 2" xfId="5426" xr:uid="{00000000-0005-0000-0000-000038130000}"/>
    <cellStyle name="Normal 4 3 2 5 2 4 2 2" xfId="5427" xr:uid="{00000000-0005-0000-0000-000039130000}"/>
    <cellStyle name="Normal 4 3 2 5 2 4 2 3" xfId="5428" xr:uid="{00000000-0005-0000-0000-00003A130000}"/>
    <cellStyle name="Normal 4 3 2 5 2 4 3" xfId="5429" xr:uid="{00000000-0005-0000-0000-00003B130000}"/>
    <cellStyle name="Normal 4 3 2 5 2 4 4" xfId="5430" xr:uid="{00000000-0005-0000-0000-00003C130000}"/>
    <cellStyle name="Normal 4 3 2 5 2 4 5" xfId="5431" xr:uid="{00000000-0005-0000-0000-00003D130000}"/>
    <cellStyle name="Normal 4 3 2 5 2 5" xfId="5432" xr:uid="{00000000-0005-0000-0000-00003E130000}"/>
    <cellStyle name="Normal 4 3 2 5 2 5 2" xfId="5433" xr:uid="{00000000-0005-0000-0000-00003F130000}"/>
    <cellStyle name="Normal 4 3 2 5 2 5 3" xfId="5434" xr:uid="{00000000-0005-0000-0000-000040130000}"/>
    <cellStyle name="Normal 4 3 2 5 2 6" xfId="5435" xr:uid="{00000000-0005-0000-0000-000041130000}"/>
    <cellStyle name="Normal 4 3 2 5 2 7" xfId="5436" xr:uid="{00000000-0005-0000-0000-000042130000}"/>
    <cellStyle name="Normal 4 3 2 5 2 8" xfId="5437" xr:uid="{00000000-0005-0000-0000-000043130000}"/>
    <cellStyle name="Normal 4 3 2 5 3" xfId="5438" xr:uid="{00000000-0005-0000-0000-000044130000}"/>
    <cellStyle name="Normal 4 3 2 5 3 2" xfId="5439" xr:uid="{00000000-0005-0000-0000-000045130000}"/>
    <cellStyle name="Normal 4 3 2 5 3 2 2" xfId="5440" xr:uid="{00000000-0005-0000-0000-000046130000}"/>
    <cellStyle name="Normal 4 3 2 5 3 2 2 2" xfId="5441" xr:uid="{00000000-0005-0000-0000-000047130000}"/>
    <cellStyle name="Normal 4 3 2 5 3 2 2 3" xfId="5442" xr:uid="{00000000-0005-0000-0000-000048130000}"/>
    <cellStyle name="Normal 4 3 2 5 3 2 3" xfId="5443" xr:uid="{00000000-0005-0000-0000-000049130000}"/>
    <cellStyle name="Normal 4 3 2 5 3 2 4" xfId="5444" xr:uid="{00000000-0005-0000-0000-00004A130000}"/>
    <cellStyle name="Normal 4 3 2 5 3 2 5" xfId="5445" xr:uid="{00000000-0005-0000-0000-00004B130000}"/>
    <cellStyle name="Normal 4 3 2 5 3 3" xfId="5446" xr:uid="{00000000-0005-0000-0000-00004C130000}"/>
    <cellStyle name="Normal 4 3 2 5 3 3 2" xfId="5447" xr:uid="{00000000-0005-0000-0000-00004D130000}"/>
    <cellStyle name="Normal 4 3 2 5 3 3 2 2" xfId="5448" xr:uid="{00000000-0005-0000-0000-00004E130000}"/>
    <cellStyle name="Normal 4 3 2 5 3 3 2 3" xfId="5449" xr:uid="{00000000-0005-0000-0000-00004F130000}"/>
    <cellStyle name="Normal 4 3 2 5 3 3 3" xfId="5450" xr:uid="{00000000-0005-0000-0000-000050130000}"/>
    <cellStyle name="Normal 4 3 2 5 3 3 4" xfId="5451" xr:uid="{00000000-0005-0000-0000-000051130000}"/>
    <cellStyle name="Normal 4 3 2 5 3 3 5" xfId="5452" xr:uid="{00000000-0005-0000-0000-000052130000}"/>
    <cellStyle name="Normal 4 3 2 5 3 4" xfId="5453" xr:uid="{00000000-0005-0000-0000-000053130000}"/>
    <cellStyle name="Normal 4 3 2 5 3 4 2" xfId="5454" xr:uid="{00000000-0005-0000-0000-000054130000}"/>
    <cellStyle name="Normal 4 3 2 5 3 4 3" xfId="5455" xr:uid="{00000000-0005-0000-0000-000055130000}"/>
    <cellStyle name="Normal 4 3 2 5 3 5" xfId="5456" xr:uid="{00000000-0005-0000-0000-000056130000}"/>
    <cellStyle name="Normal 4 3 2 5 3 6" xfId="5457" xr:uid="{00000000-0005-0000-0000-000057130000}"/>
    <cellStyle name="Normal 4 3 2 5 3 7" xfId="5458" xr:uid="{00000000-0005-0000-0000-000058130000}"/>
    <cellStyle name="Normal 4 3 2 5 4" xfId="5459" xr:uid="{00000000-0005-0000-0000-000059130000}"/>
    <cellStyle name="Normal 4 3 2 5 4 2" xfId="5460" xr:uid="{00000000-0005-0000-0000-00005A130000}"/>
    <cellStyle name="Normal 4 3 2 5 4 2 2" xfId="5461" xr:uid="{00000000-0005-0000-0000-00005B130000}"/>
    <cellStyle name="Normal 4 3 2 5 4 2 3" xfId="5462" xr:uid="{00000000-0005-0000-0000-00005C130000}"/>
    <cellStyle name="Normal 4 3 2 5 4 3" xfId="5463" xr:uid="{00000000-0005-0000-0000-00005D130000}"/>
    <cellStyle name="Normal 4 3 2 5 4 4" xfId="5464" xr:uid="{00000000-0005-0000-0000-00005E130000}"/>
    <cellStyle name="Normal 4 3 2 5 4 5" xfId="5465" xr:uid="{00000000-0005-0000-0000-00005F130000}"/>
    <cellStyle name="Normal 4 3 2 5 5" xfId="5466" xr:uid="{00000000-0005-0000-0000-000060130000}"/>
    <cellStyle name="Normal 4 3 2 5 5 2" xfId="5467" xr:uid="{00000000-0005-0000-0000-000061130000}"/>
    <cellStyle name="Normal 4 3 2 5 5 2 2" xfId="5468" xr:uid="{00000000-0005-0000-0000-000062130000}"/>
    <cellStyle name="Normal 4 3 2 5 5 2 3" xfId="5469" xr:uid="{00000000-0005-0000-0000-000063130000}"/>
    <cellStyle name="Normal 4 3 2 5 5 3" xfId="5470" xr:uid="{00000000-0005-0000-0000-000064130000}"/>
    <cellStyle name="Normal 4 3 2 5 5 4" xfId="5471" xr:uid="{00000000-0005-0000-0000-000065130000}"/>
    <cellStyle name="Normal 4 3 2 5 5 5" xfId="5472" xr:uid="{00000000-0005-0000-0000-000066130000}"/>
    <cellStyle name="Normal 4 3 2 5 6" xfId="5473" xr:uid="{00000000-0005-0000-0000-000067130000}"/>
    <cellStyle name="Normal 4 3 2 5 6 2" xfId="5474" xr:uid="{00000000-0005-0000-0000-000068130000}"/>
    <cellStyle name="Normal 4 3 2 5 6 3" xfId="5475" xr:uid="{00000000-0005-0000-0000-000069130000}"/>
    <cellStyle name="Normal 4 3 2 5 7" xfId="5476" xr:uid="{00000000-0005-0000-0000-00006A130000}"/>
    <cellStyle name="Normal 4 3 2 5 8" xfId="5477" xr:uid="{00000000-0005-0000-0000-00006B130000}"/>
    <cellStyle name="Normal 4 3 2 5 9" xfId="5478" xr:uid="{00000000-0005-0000-0000-00006C130000}"/>
    <cellStyle name="Normal 4 3 2 6" xfId="5479" xr:uid="{00000000-0005-0000-0000-00006D130000}"/>
    <cellStyle name="Normal 4 3 2 6 2" xfId="5480" xr:uid="{00000000-0005-0000-0000-00006E130000}"/>
    <cellStyle name="Normal 4 3 2 6 2 2" xfId="5481" xr:uid="{00000000-0005-0000-0000-00006F130000}"/>
    <cellStyle name="Normal 4 3 2 6 2 2 2" xfId="5482" xr:uid="{00000000-0005-0000-0000-000070130000}"/>
    <cellStyle name="Normal 4 3 2 6 2 2 2 2" xfId="5483" xr:uid="{00000000-0005-0000-0000-000071130000}"/>
    <cellStyle name="Normal 4 3 2 6 2 2 2 3" xfId="5484" xr:uid="{00000000-0005-0000-0000-000072130000}"/>
    <cellStyle name="Normal 4 3 2 6 2 2 3" xfId="5485" xr:uid="{00000000-0005-0000-0000-000073130000}"/>
    <cellStyle name="Normal 4 3 2 6 2 2 4" xfId="5486" xr:uid="{00000000-0005-0000-0000-000074130000}"/>
    <cellStyle name="Normal 4 3 2 6 2 2 5" xfId="5487" xr:uid="{00000000-0005-0000-0000-000075130000}"/>
    <cellStyle name="Normal 4 3 2 6 2 3" xfId="5488" xr:uid="{00000000-0005-0000-0000-000076130000}"/>
    <cellStyle name="Normal 4 3 2 6 2 3 2" xfId="5489" xr:uid="{00000000-0005-0000-0000-000077130000}"/>
    <cellStyle name="Normal 4 3 2 6 2 3 2 2" xfId="5490" xr:uid="{00000000-0005-0000-0000-000078130000}"/>
    <cellStyle name="Normal 4 3 2 6 2 3 2 3" xfId="5491" xr:uid="{00000000-0005-0000-0000-000079130000}"/>
    <cellStyle name="Normal 4 3 2 6 2 3 3" xfId="5492" xr:uid="{00000000-0005-0000-0000-00007A130000}"/>
    <cellStyle name="Normal 4 3 2 6 2 3 4" xfId="5493" xr:uid="{00000000-0005-0000-0000-00007B130000}"/>
    <cellStyle name="Normal 4 3 2 6 2 3 5" xfId="5494" xr:uid="{00000000-0005-0000-0000-00007C130000}"/>
    <cellStyle name="Normal 4 3 2 6 2 4" xfId="5495" xr:uid="{00000000-0005-0000-0000-00007D130000}"/>
    <cellStyle name="Normal 4 3 2 6 2 4 2" xfId="5496" xr:uid="{00000000-0005-0000-0000-00007E130000}"/>
    <cellStyle name="Normal 4 3 2 6 2 4 3" xfId="5497" xr:uid="{00000000-0005-0000-0000-00007F130000}"/>
    <cellStyle name="Normal 4 3 2 6 2 5" xfId="5498" xr:uid="{00000000-0005-0000-0000-000080130000}"/>
    <cellStyle name="Normal 4 3 2 6 2 6" xfId="5499" xr:uid="{00000000-0005-0000-0000-000081130000}"/>
    <cellStyle name="Normal 4 3 2 6 2 7" xfId="5500" xr:uid="{00000000-0005-0000-0000-000082130000}"/>
    <cellStyle name="Normal 4 3 2 6 3" xfId="5501" xr:uid="{00000000-0005-0000-0000-000083130000}"/>
    <cellStyle name="Normal 4 3 2 6 3 2" xfId="5502" xr:uid="{00000000-0005-0000-0000-000084130000}"/>
    <cellStyle name="Normal 4 3 2 6 3 2 2" xfId="5503" xr:uid="{00000000-0005-0000-0000-000085130000}"/>
    <cellStyle name="Normal 4 3 2 6 3 2 3" xfId="5504" xr:uid="{00000000-0005-0000-0000-000086130000}"/>
    <cellStyle name="Normal 4 3 2 6 3 3" xfId="5505" xr:uid="{00000000-0005-0000-0000-000087130000}"/>
    <cellStyle name="Normal 4 3 2 6 3 4" xfId="5506" xr:uid="{00000000-0005-0000-0000-000088130000}"/>
    <cellStyle name="Normal 4 3 2 6 3 5" xfId="5507" xr:uid="{00000000-0005-0000-0000-000089130000}"/>
    <cellStyle name="Normal 4 3 2 6 4" xfId="5508" xr:uid="{00000000-0005-0000-0000-00008A130000}"/>
    <cellStyle name="Normal 4 3 2 6 4 2" xfId="5509" xr:uid="{00000000-0005-0000-0000-00008B130000}"/>
    <cellStyle name="Normal 4 3 2 6 4 2 2" xfId="5510" xr:uid="{00000000-0005-0000-0000-00008C130000}"/>
    <cellStyle name="Normal 4 3 2 6 4 2 3" xfId="5511" xr:uid="{00000000-0005-0000-0000-00008D130000}"/>
    <cellStyle name="Normal 4 3 2 6 4 3" xfId="5512" xr:uid="{00000000-0005-0000-0000-00008E130000}"/>
    <cellStyle name="Normal 4 3 2 6 4 4" xfId="5513" xr:uid="{00000000-0005-0000-0000-00008F130000}"/>
    <cellStyle name="Normal 4 3 2 6 4 5" xfId="5514" xr:uid="{00000000-0005-0000-0000-000090130000}"/>
    <cellStyle name="Normal 4 3 2 6 5" xfId="5515" xr:uid="{00000000-0005-0000-0000-000091130000}"/>
    <cellStyle name="Normal 4 3 2 6 5 2" xfId="5516" xr:uid="{00000000-0005-0000-0000-000092130000}"/>
    <cellStyle name="Normal 4 3 2 6 5 3" xfId="5517" xr:uid="{00000000-0005-0000-0000-000093130000}"/>
    <cellStyle name="Normal 4 3 2 6 6" xfId="5518" xr:uid="{00000000-0005-0000-0000-000094130000}"/>
    <cellStyle name="Normal 4 3 2 6 7" xfId="5519" xr:uid="{00000000-0005-0000-0000-000095130000}"/>
    <cellStyle name="Normal 4 3 2 6 8" xfId="5520" xr:uid="{00000000-0005-0000-0000-000096130000}"/>
    <cellStyle name="Normal 4 3 2 7" xfId="5521" xr:uid="{00000000-0005-0000-0000-000097130000}"/>
    <cellStyle name="Normal 4 3 2 7 2" xfId="5522" xr:uid="{00000000-0005-0000-0000-000098130000}"/>
    <cellStyle name="Normal 4 3 2 7 2 2" xfId="5523" xr:uid="{00000000-0005-0000-0000-000099130000}"/>
    <cellStyle name="Normal 4 3 2 7 2 2 2" xfId="5524" xr:uid="{00000000-0005-0000-0000-00009A130000}"/>
    <cellStyle name="Normal 4 3 2 7 2 2 3" xfId="5525" xr:uid="{00000000-0005-0000-0000-00009B130000}"/>
    <cellStyle name="Normal 4 3 2 7 2 3" xfId="5526" xr:uid="{00000000-0005-0000-0000-00009C130000}"/>
    <cellStyle name="Normal 4 3 2 7 2 4" xfId="5527" xr:uid="{00000000-0005-0000-0000-00009D130000}"/>
    <cellStyle name="Normal 4 3 2 7 2 5" xfId="5528" xr:uid="{00000000-0005-0000-0000-00009E130000}"/>
    <cellStyle name="Normal 4 3 2 7 3" xfId="5529" xr:uid="{00000000-0005-0000-0000-00009F130000}"/>
    <cellStyle name="Normal 4 3 2 7 3 2" xfId="5530" xr:uid="{00000000-0005-0000-0000-0000A0130000}"/>
    <cellStyle name="Normal 4 3 2 7 3 2 2" xfId="5531" xr:uid="{00000000-0005-0000-0000-0000A1130000}"/>
    <cellStyle name="Normal 4 3 2 7 3 2 3" xfId="5532" xr:uid="{00000000-0005-0000-0000-0000A2130000}"/>
    <cellStyle name="Normal 4 3 2 7 3 3" xfId="5533" xr:uid="{00000000-0005-0000-0000-0000A3130000}"/>
    <cellStyle name="Normal 4 3 2 7 3 4" xfId="5534" xr:uid="{00000000-0005-0000-0000-0000A4130000}"/>
    <cellStyle name="Normal 4 3 2 7 3 5" xfId="5535" xr:uid="{00000000-0005-0000-0000-0000A5130000}"/>
    <cellStyle name="Normal 4 3 2 7 4" xfId="5536" xr:uid="{00000000-0005-0000-0000-0000A6130000}"/>
    <cellStyle name="Normal 4 3 2 7 4 2" xfId="5537" xr:uid="{00000000-0005-0000-0000-0000A7130000}"/>
    <cellStyle name="Normal 4 3 2 7 4 3" xfId="5538" xr:uid="{00000000-0005-0000-0000-0000A8130000}"/>
    <cellStyle name="Normal 4 3 2 7 5" xfId="5539" xr:uid="{00000000-0005-0000-0000-0000A9130000}"/>
    <cellStyle name="Normal 4 3 2 7 6" xfId="5540" xr:uid="{00000000-0005-0000-0000-0000AA130000}"/>
    <cellStyle name="Normal 4 3 2 7 7" xfId="5541" xr:uid="{00000000-0005-0000-0000-0000AB130000}"/>
    <cellStyle name="Normal 4 3 2 8" xfId="5542" xr:uid="{00000000-0005-0000-0000-0000AC130000}"/>
    <cellStyle name="Normal 4 3 2 8 2" xfId="5543" xr:uid="{00000000-0005-0000-0000-0000AD130000}"/>
    <cellStyle name="Normal 4 3 2 8 2 2" xfId="5544" xr:uid="{00000000-0005-0000-0000-0000AE130000}"/>
    <cellStyle name="Normal 4 3 2 8 2 2 2" xfId="5545" xr:uid="{00000000-0005-0000-0000-0000AF130000}"/>
    <cellStyle name="Normal 4 3 2 8 2 2 3" xfId="5546" xr:uid="{00000000-0005-0000-0000-0000B0130000}"/>
    <cellStyle name="Normal 4 3 2 8 2 3" xfId="5547" xr:uid="{00000000-0005-0000-0000-0000B1130000}"/>
    <cellStyle name="Normal 4 3 2 8 2 4" xfId="5548" xr:uid="{00000000-0005-0000-0000-0000B2130000}"/>
    <cellStyle name="Normal 4 3 2 8 2 5" xfId="5549" xr:uid="{00000000-0005-0000-0000-0000B3130000}"/>
    <cellStyle name="Normal 4 3 2 8 3" xfId="5550" xr:uid="{00000000-0005-0000-0000-0000B4130000}"/>
    <cellStyle name="Normal 4 3 2 8 3 2" xfId="5551" xr:uid="{00000000-0005-0000-0000-0000B5130000}"/>
    <cellStyle name="Normal 4 3 2 8 3 2 2" xfId="5552" xr:uid="{00000000-0005-0000-0000-0000B6130000}"/>
    <cellStyle name="Normal 4 3 2 8 3 2 3" xfId="5553" xr:uid="{00000000-0005-0000-0000-0000B7130000}"/>
    <cellStyle name="Normal 4 3 2 8 3 3" xfId="5554" xr:uid="{00000000-0005-0000-0000-0000B8130000}"/>
    <cellStyle name="Normal 4 3 2 8 3 4" xfId="5555" xr:uid="{00000000-0005-0000-0000-0000B9130000}"/>
    <cellStyle name="Normal 4 3 2 8 3 5" xfId="5556" xr:uid="{00000000-0005-0000-0000-0000BA130000}"/>
    <cellStyle name="Normal 4 3 2 8 4" xfId="5557" xr:uid="{00000000-0005-0000-0000-0000BB130000}"/>
    <cellStyle name="Normal 4 3 2 8 4 2" xfId="5558" xr:uid="{00000000-0005-0000-0000-0000BC130000}"/>
    <cellStyle name="Normal 4 3 2 8 4 3" xfId="5559" xr:uid="{00000000-0005-0000-0000-0000BD130000}"/>
    <cellStyle name="Normal 4 3 2 8 5" xfId="5560" xr:uid="{00000000-0005-0000-0000-0000BE130000}"/>
    <cellStyle name="Normal 4 3 2 8 6" xfId="5561" xr:uid="{00000000-0005-0000-0000-0000BF130000}"/>
    <cellStyle name="Normal 4 3 2 8 7" xfId="5562" xr:uid="{00000000-0005-0000-0000-0000C0130000}"/>
    <cellStyle name="Normal 4 3 2 9" xfId="5563" xr:uid="{00000000-0005-0000-0000-0000C1130000}"/>
    <cellStyle name="Normal 4 3 2 9 2" xfId="5564" xr:uid="{00000000-0005-0000-0000-0000C2130000}"/>
    <cellStyle name="Normal 4 3 2 9 2 2" xfId="5565" xr:uid="{00000000-0005-0000-0000-0000C3130000}"/>
    <cellStyle name="Normal 4 3 2 9 2 3" xfId="5566" xr:uid="{00000000-0005-0000-0000-0000C4130000}"/>
    <cellStyle name="Normal 4 3 2 9 3" xfId="5567" xr:uid="{00000000-0005-0000-0000-0000C5130000}"/>
    <cellStyle name="Normal 4 3 2 9 4" xfId="5568" xr:uid="{00000000-0005-0000-0000-0000C6130000}"/>
    <cellStyle name="Normal 4 3 2 9 5" xfId="5569" xr:uid="{00000000-0005-0000-0000-0000C7130000}"/>
    <cellStyle name="Normal 4 3 3" xfId="5570" xr:uid="{00000000-0005-0000-0000-0000C8130000}"/>
    <cellStyle name="Normal 4 3 3 10" xfId="5571" xr:uid="{00000000-0005-0000-0000-0000C9130000}"/>
    <cellStyle name="Normal 4 3 3 10 2" xfId="5572" xr:uid="{00000000-0005-0000-0000-0000CA130000}"/>
    <cellStyle name="Normal 4 3 3 10 2 2" xfId="5573" xr:uid="{00000000-0005-0000-0000-0000CB130000}"/>
    <cellStyle name="Normal 4 3 3 10 2 3" xfId="5574" xr:uid="{00000000-0005-0000-0000-0000CC130000}"/>
    <cellStyle name="Normal 4 3 3 10 3" xfId="5575" xr:uid="{00000000-0005-0000-0000-0000CD130000}"/>
    <cellStyle name="Normal 4 3 3 10 4" xfId="5576" xr:uid="{00000000-0005-0000-0000-0000CE130000}"/>
    <cellStyle name="Normal 4 3 3 10 5" xfId="5577" xr:uid="{00000000-0005-0000-0000-0000CF130000}"/>
    <cellStyle name="Normal 4 3 3 11" xfId="5578" xr:uid="{00000000-0005-0000-0000-0000D0130000}"/>
    <cellStyle name="Normal 4 3 3 11 2" xfId="5579" xr:uid="{00000000-0005-0000-0000-0000D1130000}"/>
    <cellStyle name="Normal 4 3 3 11 3" xfId="5580" xr:uid="{00000000-0005-0000-0000-0000D2130000}"/>
    <cellStyle name="Normal 4 3 3 12" xfId="5581" xr:uid="{00000000-0005-0000-0000-0000D3130000}"/>
    <cellStyle name="Normal 4 3 3 13" xfId="5582" xr:uid="{00000000-0005-0000-0000-0000D4130000}"/>
    <cellStyle name="Normal 4 3 3 14" xfId="5583" xr:uid="{00000000-0005-0000-0000-0000D5130000}"/>
    <cellStyle name="Normal 4 3 3 2" xfId="5584" xr:uid="{00000000-0005-0000-0000-0000D6130000}"/>
    <cellStyle name="Normal 4 3 3 2 10" xfId="5585" xr:uid="{00000000-0005-0000-0000-0000D7130000}"/>
    <cellStyle name="Normal 4 3 3 2 11" xfId="5586" xr:uid="{00000000-0005-0000-0000-0000D8130000}"/>
    <cellStyle name="Normal 4 3 3 2 12" xfId="5587" xr:uid="{00000000-0005-0000-0000-0000D9130000}"/>
    <cellStyle name="Normal 4 3 3 2 2" xfId="5588" xr:uid="{00000000-0005-0000-0000-0000DA130000}"/>
    <cellStyle name="Normal 4 3 3 2 2 2" xfId="5589" xr:uid="{00000000-0005-0000-0000-0000DB130000}"/>
    <cellStyle name="Normal 4 3 3 2 2 2 2" xfId="5590" xr:uid="{00000000-0005-0000-0000-0000DC130000}"/>
    <cellStyle name="Normal 4 3 3 2 2 2 2 2" xfId="5591" xr:uid="{00000000-0005-0000-0000-0000DD130000}"/>
    <cellStyle name="Normal 4 3 3 2 2 2 2 2 2" xfId="5592" xr:uid="{00000000-0005-0000-0000-0000DE130000}"/>
    <cellStyle name="Normal 4 3 3 2 2 2 2 2 2 2" xfId="5593" xr:uid="{00000000-0005-0000-0000-0000DF130000}"/>
    <cellStyle name="Normal 4 3 3 2 2 2 2 2 2 3" xfId="5594" xr:uid="{00000000-0005-0000-0000-0000E0130000}"/>
    <cellStyle name="Normal 4 3 3 2 2 2 2 2 3" xfId="5595" xr:uid="{00000000-0005-0000-0000-0000E1130000}"/>
    <cellStyle name="Normal 4 3 3 2 2 2 2 2 4" xfId="5596" xr:uid="{00000000-0005-0000-0000-0000E2130000}"/>
    <cellStyle name="Normal 4 3 3 2 2 2 2 2 5" xfId="5597" xr:uid="{00000000-0005-0000-0000-0000E3130000}"/>
    <cellStyle name="Normal 4 3 3 2 2 2 2 3" xfId="5598" xr:uid="{00000000-0005-0000-0000-0000E4130000}"/>
    <cellStyle name="Normal 4 3 3 2 2 2 2 3 2" xfId="5599" xr:uid="{00000000-0005-0000-0000-0000E5130000}"/>
    <cellStyle name="Normal 4 3 3 2 2 2 2 3 2 2" xfId="5600" xr:uid="{00000000-0005-0000-0000-0000E6130000}"/>
    <cellStyle name="Normal 4 3 3 2 2 2 2 3 2 3" xfId="5601" xr:uid="{00000000-0005-0000-0000-0000E7130000}"/>
    <cellStyle name="Normal 4 3 3 2 2 2 2 3 3" xfId="5602" xr:uid="{00000000-0005-0000-0000-0000E8130000}"/>
    <cellStyle name="Normal 4 3 3 2 2 2 2 3 4" xfId="5603" xr:uid="{00000000-0005-0000-0000-0000E9130000}"/>
    <cellStyle name="Normal 4 3 3 2 2 2 2 3 5" xfId="5604" xr:uid="{00000000-0005-0000-0000-0000EA130000}"/>
    <cellStyle name="Normal 4 3 3 2 2 2 2 4" xfId="5605" xr:uid="{00000000-0005-0000-0000-0000EB130000}"/>
    <cellStyle name="Normal 4 3 3 2 2 2 2 4 2" xfId="5606" xr:uid="{00000000-0005-0000-0000-0000EC130000}"/>
    <cellStyle name="Normal 4 3 3 2 2 2 2 4 3" xfId="5607" xr:uid="{00000000-0005-0000-0000-0000ED130000}"/>
    <cellStyle name="Normal 4 3 3 2 2 2 2 5" xfId="5608" xr:uid="{00000000-0005-0000-0000-0000EE130000}"/>
    <cellStyle name="Normal 4 3 3 2 2 2 2 6" xfId="5609" xr:uid="{00000000-0005-0000-0000-0000EF130000}"/>
    <cellStyle name="Normal 4 3 3 2 2 2 2 7" xfId="5610" xr:uid="{00000000-0005-0000-0000-0000F0130000}"/>
    <cellStyle name="Normal 4 3 3 2 2 2 3" xfId="5611" xr:uid="{00000000-0005-0000-0000-0000F1130000}"/>
    <cellStyle name="Normal 4 3 3 2 2 2 3 2" xfId="5612" xr:uid="{00000000-0005-0000-0000-0000F2130000}"/>
    <cellStyle name="Normal 4 3 3 2 2 2 3 2 2" xfId="5613" xr:uid="{00000000-0005-0000-0000-0000F3130000}"/>
    <cellStyle name="Normal 4 3 3 2 2 2 3 2 3" xfId="5614" xr:uid="{00000000-0005-0000-0000-0000F4130000}"/>
    <cellStyle name="Normal 4 3 3 2 2 2 3 3" xfId="5615" xr:uid="{00000000-0005-0000-0000-0000F5130000}"/>
    <cellStyle name="Normal 4 3 3 2 2 2 3 4" xfId="5616" xr:uid="{00000000-0005-0000-0000-0000F6130000}"/>
    <cellStyle name="Normal 4 3 3 2 2 2 3 5" xfId="5617" xr:uid="{00000000-0005-0000-0000-0000F7130000}"/>
    <cellStyle name="Normal 4 3 3 2 2 2 4" xfId="5618" xr:uid="{00000000-0005-0000-0000-0000F8130000}"/>
    <cellStyle name="Normal 4 3 3 2 2 2 4 2" xfId="5619" xr:uid="{00000000-0005-0000-0000-0000F9130000}"/>
    <cellStyle name="Normal 4 3 3 2 2 2 4 2 2" xfId="5620" xr:uid="{00000000-0005-0000-0000-0000FA130000}"/>
    <cellStyle name="Normal 4 3 3 2 2 2 4 2 3" xfId="5621" xr:uid="{00000000-0005-0000-0000-0000FB130000}"/>
    <cellStyle name="Normal 4 3 3 2 2 2 4 3" xfId="5622" xr:uid="{00000000-0005-0000-0000-0000FC130000}"/>
    <cellStyle name="Normal 4 3 3 2 2 2 4 4" xfId="5623" xr:uid="{00000000-0005-0000-0000-0000FD130000}"/>
    <cellStyle name="Normal 4 3 3 2 2 2 4 5" xfId="5624" xr:uid="{00000000-0005-0000-0000-0000FE130000}"/>
    <cellStyle name="Normal 4 3 3 2 2 2 5" xfId="5625" xr:uid="{00000000-0005-0000-0000-0000FF130000}"/>
    <cellStyle name="Normal 4 3 3 2 2 2 5 2" xfId="5626" xr:uid="{00000000-0005-0000-0000-000000140000}"/>
    <cellStyle name="Normal 4 3 3 2 2 2 5 3" xfId="5627" xr:uid="{00000000-0005-0000-0000-000001140000}"/>
    <cellStyle name="Normal 4 3 3 2 2 2 6" xfId="5628" xr:uid="{00000000-0005-0000-0000-000002140000}"/>
    <cellStyle name="Normal 4 3 3 2 2 2 7" xfId="5629" xr:uid="{00000000-0005-0000-0000-000003140000}"/>
    <cellStyle name="Normal 4 3 3 2 2 2 8" xfId="5630" xr:uid="{00000000-0005-0000-0000-000004140000}"/>
    <cellStyle name="Normal 4 3 3 2 2 3" xfId="5631" xr:uid="{00000000-0005-0000-0000-000005140000}"/>
    <cellStyle name="Normal 4 3 3 2 2 3 2" xfId="5632" xr:uid="{00000000-0005-0000-0000-000006140000}"/>
    <cellStyle name="Normal 4 3 3 2 2 3 2 2" xfId="5633" xr:uid="{00000000-0005-0000-0000-000007140000}"/>
    <cellStyle name="Normal 4 3 3 2 2 3 2 2 2" xfId="5634" xr:uid="{00000000-0005-0000-0000-000008140000}"/>
    <cellStyle name="Normal 4 3 3 2 2 3 2 2 3" xfId="5635" xr:uid="{00000000-0005-0000-0000-000009140000}"/>
    <cellStyle name="Normal 4 3 3 2 2 3 2 3" xfId="5636" xr:uid="{00000000-0005-0000-0000-00000A140000}"/>
    <cellStyle name="Normal 4 3 3 2 2 3 2 4" xfId="5637" xr:uid="{00000000-0005-0000-0000-00000B140000}"/>
    <cellStyle name="Normal 4 3 3 2 2 3 2 5" xfId="5638" xr:uid="{00000000-0005-0000-0000-00000C140000}"/>
    <cellStyle name="Normal 4 3 3 2 2 3 3" xfId="5639" xr:uid="{00000000-0005-0000-0000-00000D140000}"/>
    <cellStyle name="Normal 4 3 3 2 2 3 3 2" xfId="5640" xr:uid="{00000000-0005-0000-0000-00000E140000}"/>
    <cellStyle name="Normal 4 3 3 2 2 3 3 2 2" xfId="5641" xr:uid="{00000000-0005-0000-0000-00000F140000}"/>
    <cellStyle name="Normal 4 3 3 2 2 3 3 2 3" xfId="5642" xr:uid="{00000000-0005-0000-0000-000010140000}"/>
    <cellStyle name="Normal 4 3 3 2 2 3 3 3" xfId="5643" xr:uid="{00000000-0005-0000-0000-000011140000}"/>
    <cellStyle name="Normal 4 3 3 2 2 3 3 4" xfId="5644" xr:uid="{00000000-0005-0000-0000-000012140000}"/>
    <cellStyle name="Normal 4 3 3 2 2 3 3 5" xfId="5645" xr:uid="{00000000-0005-0000-0000-000013140000}"/>
    <cellStyle name="Normal 4 3 3 2 2 3 4" xfId="5646" xr:uid="{00000000-0005-0000-0000-000014140000}"/>
    <cellStyle name="Normal 4 3 3 2 2 3 4 2" xfId="5647" xr:uid="{00000000-0005-0000-0000-000015140000}"/>
    <cellStyle name="Normal 4 3 3 2 2 3 4 3" xfId="5648" xr:uid="{00000000-0005-0000-0000-000016140000}"/>
    <cellStyle name="Normal 4 3 3 2 2 3 5" xfId="5649" xr:uid="{00000000-0005-0000-0000-000017140000}"/>
    <cellStyle name="Normal 4 3 3 2 2 3 6" xfId="5650" xr:uid="{00000000-0005-0000-0000-000018140000}"/>
    <cellStyle name="Normal 4 3 3 2 2 3 7" xfId="5651" xr:uid="{00000000-0005-0000-0000-000019140000}"/>
    <cellStyle name="Normal 4 3 3 2 2 4" xfId="5652" xr:uid="{00000000-0005-0000-0000-00001A140000}"/>
    <cellStyle name="Normal 4 3 3 2 2 4 2" xfId="5653" xr:uid="{00000000-0005-0000-0000-00001B140000}"/>
    <cellStyle name="Normal 4 3 3 2 2 4 2 2" xfId="5654" xr:uid="{00000000-0005-0000-0000-00001C140000}"/>
    <cellStyle name="Normal 4 3 3 2 2 4 2 3" xfId="5655" xr:uid="{00000000-0005-0000-0000-00001D140000}"/>
    <cellStyle name="Normal 4 3 3 2 2 4 3" xfId="5656" xr:uid="{00000000-0005-0000-0000-00001E140000}"/>
    <cellStyle name="Normal 4 3 3 2 2 4 4" xfId="5657" xr:uid="{00000000-0005-0000-0000-00001F140000}"/>
    <cellStyle name="Normal 4 3 3 2 2 4 5" xfId="5658" xr:uid="{00000000-0005-0000-0000-000020140000}"/>
    <cellStyle name="Normal 4 3 3 2 2 5" xfId="5659" xr:uid="{00000000-0005-0000-0000-000021140000}"/>
    <cellStyle name="Normal 4 3 3 2 2 5 2" xfId="5660" xr:uid="{00000000-0005-0000-0000-000022140000}"/>
    <cellStyle name="Normal 4 3 3 2 2 5 2 2" xfId="5661" xr:uid="{00000000-0005-0000-0000-000023140000}"/>
    <cellStyle name="Normal 4 3 3 2 2 5 2 3" xfId="5662" xr:uid="{00000000-0005-0000-0000-000024140000}"/>
    <cellStyle name="Normal 4 3 3 2 2 5 3" xfId="5663" xr:uid="{00000000-0005-0000-0000-000025140000}"/>
    <cellStyle name="Normal 4 3 3 2 2 5 4" xfId="5664" xr:uid="{00000000-0005-0000-0000-000026140000}"/>
    <cellStyle name="Normal 4 3 3 2 2 5 5" xfId="5665" xr:uid="{00000000-0005-0000-0000-000027140000}"/>
    <cellStyle name="Normal 4 3 3 2 2 6" xfId="5666" xr:uid="{00000000-0005-0000-0000-000028140000}"/>
    <cellStyle name="Normal 4 3 3 2 2 6 2" xfId="5667" xr:uid="{00000000-0005-0000-0000-000029140000}"/>
    <cellStyle name="Normal 4 3 3 2 2 6 3" xfId="5668" xr:uid="{00000000-0005-0000-0000-00002A140000}"/>
    <cellStyle name="Normal 4 3 3 2 2 7" xfId="5669" xr:uid="{00000000-0005-0000-0000-00002B140000}"/>
    <cellStyle name="Normal 4 3 3 2 2 8" xfId="5670" xr:uid="{00000000-0005-0000-0000-00002C140000}"/>
    <cellStyle name="Normal 4 3 3 2 2 9" xfId="5671" xr:uid="{00000000-0005-0000-0000-00002D140000}"/>
    <cellStyle name="Normal 4 3 3 2 3" xfId="5672" xr:uid="{00000000-0005-0000-0000-00002E140000}"/>
    <cellStyle name="Normal 4 3 3 2 3 2" xfId="5673" xr:uid="{00000000-0005-0000-0000-00002F140000}"/>
    <cellStyle name="Normal 4 3 3 2 3 2 2" xfId="5674" xr:uid="{00000000-0005-0000-0000-000030140000}"/>
    <cellStyle name="Normal 4 3 3 2 3 2 2 2" xfId="5675" xr:uid="{00000000-0005-0000-0000-000031140000}"/>
    <cellStyle name="Normal 4 3 3 2 3 2 2 2 2" xfId="5676" xr:uid="{00000000-0005-0000-0000-000032140000}"/>
    <cellStyle name="Normal 4 3 3 2 3 2 2 2 2 2" xfId="5677" xr:uid="{00000000-0005-0000-0000-000033140000}"/>
    <cellStyle name="Normal 4 3 3 2 3 2 2 2 2 3" xfId="5678" xr:uid="{00000000-0005-0000-0000-000034140000}"/>
    <cellStyle name="Normal 4 3 3 2 3 2 2 2 3" xfId="5679" xr:uid="{00000000-0005-0000-0000-000035140000}"/>
    <cellStyle name="Normal 4 3 3 2 3 2 2 2 4" xfId="5680" xr:uid="{00000000-0005-0000-0000-000036140000}"/>
    <cellStyle name="Normal 4 3 3 2 3 2 2 2 5" xfId="5681" xr:uid="{00000000-0005-0000-0000-000037140000}"/>
    <cellStyle name="Normal 4 3 3 2 3 2 2 3" xfId="5682" xr:uid="{00000000-0005-0000-0000-000038140000}"/>
    <cellStyle name="Normal 4 3 3 2 3 2 2 3 2" xfId="5683" xr:uid="{00000000-0005-0000-0000-000039140000}"/>
    <cellStyle name="Normal 4 3 3 2 3 2 2 3 2 2" xfId="5684" xr:uid="{00000000-0005-0000-0000-00003A140000}"/>
    <cellStyle name="Normal 4 3 3 2 3 2 2 3 2 3" xfId="5685" xr:uid="{00000000-0005-0000-0000-00003B140000}"/>
    <cellStyle name="Normal 4 3 3 2 3 2 2 3 3" xfId="5686" xr:uid="{00000000-0005-0000-0000-00003C140000}"/>
    <cellStyle name="Normal 4 3 3 2 3 2 2 3 4" xfId="5687" xr:uid="{00000000-0005-0000-0000-00003D140000}"/>
    <cellStyle name="Normal 4 3 3 2 3 2 2 3 5" xfId="5688" xr:uid="{00000000-0005-0000-0000-00003E140000}"/>
    <cellStyle name="Normal 4 3 3 2 3 2 2 4" xfId="5689" xr:uid="{00000000-0005-0000-0000-00003F140000}"/>
    <cellStyle name="Normal 4 3 3 2 3 2 2 4 2" xfId="5690" xr:uid="{00000000-0005-0000-0000-000040140000}"/>
    <cellStyle name="Normal 4 3 3 2 3 2 2 4 3" xfId="5691" xr:uid="{00000000-0005-0000-0000-000041140000}"/>
    <cellStyle name="Normal 4 3 3 2 3 2 2 5" xfId="5692" xr:uid="{00000000-0005-0000-0000-000042140000}"/>
    <cellStyle name="Normal 4 3 3 2 3 2 2 6" xfId="5693" xr:uid="{00000000-0005-0000-0000-000043140000}"/>
    <cellStyle name="Normal 4 3 3 2 3 2 2 7" xfId="5694" xr:uid="{00000000-0005-0000-0000-000044140000}"/>
    <cellStyle name="Normal 4 3 3 2 3 2 3" xfId="5695" xr:uid="{00000000-0005-0000-0000-000045140000}"/>
    <cellStyle name="Normal 4 3 3 2 3 2 3 2" xfId="5696" xr:uid="{00000000-0005-0000-0000-000046140000}"/>
    <cellStyle name="Normal 4 3 3 2 3 2 3 2 2" xfId="5697" xr:uid="{00000000-0005-0000-0000-000047140000}"/>
    <cellStyle name="Normal 4 3 3 2 3 2 3 2 3" xfId="5698" xr:uid="{00000000-0005-0000-0000-000048140000}"/>
    <cellStyle name="Normal 4 3 3 2 3 2 3 3" xfId="5699" xr:uid="{00000000-0005-0000-0000-000049140000}"/>
    <cellStyle name="Normal 4 3 3 2 3 2 3 4" xfId="5700" xr:uid="{00000000-0005-0000-0000-00004A140000}"/>
    <cellStyle name="Normal 4 3 3 2 3 2 3 5" xfId="5701" xr:uid="{00000000-0005-0000-0000-00004B140000}"/>
    <cellStyle name="Normal 4 3 3 2 3 2 4" xfId="5702" xr:uid="{00000000-0005-0000-0000-00004C140000}"/>
    <cellStyle name="Normal 4 3 3 2 3 2 4 2" xfId="5703" xr:uid="{00000000-0005-0000-0000-00004D140000}"/>
    <cellStyle name="Normal 4 3 3 2 3 2 4 2 2" xfId="5704" xr:uid="{00000000-0005-0000-0000-00004E140000}"/>
    <cellStyle name="Normal 4 3 3 2 3 2 4 2 3" xfId="5705" xr:uid="{00000000-0005-0000-0000-00004F140000}"/>
    <cellStyle name="Normal 4 3 3 2 3 2 4 3" xfId="5706" xr:uid="{00000000-0005-0000-0000-000050140000}"/>
    <cellStyle name="Normal 4 3 3 2 3 2 4 4" xfId="5707" xr:uid="{00000000-0005-0000-0000-000051140000}"/>
    <cellStyle name="Normal 4 3 3 2 3 2 4 5" xfId="5708" xr:uid="{00000000-0005-0000-0000-000052140000}"/>
    <cellStyle name="Normal 4 3 3 2 3 2 5" xfId="5709" xr:uid="{00000000-0005-0000-0000-000053140000}"/>
    <cellStyle name="Normal 4 3 3 2 3 2 5 2" xfId="5710" xr:uid="{00000000-0005-0000-0000-000054140000}"/>
    <cellStyle name="Normal 4 3 3 2 3 2 5 3" xfId="5711" xr:uid="{00000000-0005-0000-0000-000055140000}"/>
    <cellStyle name="Normal 4 3 3 2 3 2 6" xfId="5712" xr:uid="{00000000-0005-0000-0000-000056140000}"/>
    <cellStyle name="Normal 4 3 3 2 3 2 7" xfId="5713" xr:uid="{00000000-0005-0000-0000-000057140000}"/>
    <cellStyle name="Normal 4 3 3 2 3 2 8" xfId="5714" xr:uid="{00000000-0005-0000-0000-000058140000}"/>
    <cellStyle name="Normal 4 3 3 2 3 3" xfId="5715" xr:uid="{00000000-0005-0000-0000-000059140000}"/>
    <cellStyle name="Normal 4 3 3 2 3 3 2" xfId="5716" xr:uid="{00000000-0005-0000-0000-00005A140000}"/>
    <cellStyle name="Normal 4 3 3 2 3 3 2 2" xfId="5717" xr:uid="{00000000-0005-0000-0000-00005B140000}"/>
    <cellStyle name="Normal 4 3 3 2 3 3 2 2 2" xfId="5718" xr:uid="{00000000-0005-0000-0000-00005C140000}"/>
    <cellStyle name="Normal 4 3 3 2 3 3 2 2 3" xfId="5719" xr:uid="{00000000-0005-0000-0000-00005D140000}"/>
    <cellStyle name="Normal 4 3 3 2 3 3 2 3" xfId="5720" xr:uid="{00000000-0005-0000-0000-00005E140000}"/>
    <cellStyle name="Normal 4 3 3 2 3 3 2 4" xfId="5721" xr:uid="{00000000-0005-0000-0000-00005F140000}"/>
    <cellStyle name="Normal 4 3 3 2 3 3 2 5" xfId="5722" xr:uid="{00000000-0005-0000-0000-000060140000}"/>
    <cellStyle name="Normal 4 3 3 2 3 3 3" xfId="5723" xr:uid="{00000000-0005-0000-0000-000061140000}"/>
    <cellStyle name="Normal 4 3 3 2 3 3 3 2" xfId="5724" xr:uid="{00000000-0005-0000-0000-000062140000}"/>
    <cellStyle name="Normal 4 3 3 2 3 3 3 2 2" xfId="5725" xr:uid="{00000000-0005-0000-0000-000063140000}"/>
    <cellStyle name="Normal 4 3 3 2 3 3 3 2 3" xfId="5726" xr:uid="{00000000-0005-0000-0000-000064140000}"/>
    <cellStyle name="Normal 4 3 3 2 3 3 3 3" xfId="5727" xr:uid="{00000000-0005-0000-0000-000065140000}"/>
    <cellStyle name="Normal 4 3 3 2 3 3 3 4" xfId="5728" xr:uid="{00000000-0005-0000-0000-000066140000}"/>
    <cellStyle name="Normal 4 3 3 2 3 3 3 5" xfId="5729" xr:uid="{00000000-0005-0000-0000-000067140000}"/>
    <cellStyle name="Normal 4 3 3 2 3 3 4" xfId="5730" xr:uid="{00000000-0005-0000-0000-000068140000}"/>
    <cellStyle name="Normal 4 3 3 2 3 3 4 2" xfId="5731" xr:uid="{00000000-0005-0000-0000-000069140000}"/>
    <cellStyle name="Normal 4 3 3 2 3 3 4 3" xfId="5732" xr:uid="{00000000-0005-0000-0000-00006A140000}"/>
    <cellStyle name="Normal 4 3 3 2 3 3 5" xfId="5733" xr:uid="{00000000-0005-0000-0000-00006B140000}"/>
    <cellStyle name="Normal 4 3 3 2 3 3 6" xfId="5734" xr:uid="{00000000-0005-0000-0000-00006C140000}"/>
    <cellStyle name="Normal 4 3 3 2 3 3 7" xfId="5735" xr:uid="{00000000-0005-0000-0000-00006D140000}"/>
    <cellStyle name="Normal 4 3 3 2 3 4" xfId="5736" xr:uid="{00000000-0005-0000-0000-00006E140000}"/>
    <cellStyle name="Normal 4 3 3 2 3 4 2" xfId="5737" xr:uid="{00000000-0005-0000-0000-00006F140000}"/>
    <cellStyle name="Normal 4 3 3 2 3 4 2 2" xfId="5738" xr:uid="{00000000-0005-0000-0000-000070140000}"/>
    <cellStyle name="Normal 4 3 3 2 3 4 2 3" xfId="5739" xr:uid="{00000000-0005-0000-0000-000071140000}"/>
    <cellStyle name="Normal 4 3 3 2 3 4 3" xfId="5740" xr:uid="{00000000-0005-0000-0000-000072140000}"/>
    <cellStyle name="Normal 4 3 3 2 3 4 4" xfId="5741" xr:uid="{00000000-0005-0000-0000-000073140000}"/>
    <cellStyle name="Normal 4 3 3 2 3 4 5" xfId="5742" xr:uid="{00000000-0005-0000-0000-000074140000}"/>
    <cellStyle name="Normal 4 3 3 2 3 5" xfId="5743" xr:uid="{00000000-0005-0000-0000-000075140000}"/>
    <cellStyle name="Normal 4 3 3 2 3 5 2" xfId="5744" xr:uid="{00000000-0005-0000-0000-000076140000}"/>
    <cellStyle name="Normal 4 3 3 2 3 5 2 2" xfId="5745" xr:uid="{00000000-0005-0000-0000-000077140000}"/>
    <cellStyle name="Normal 4 3 3 2 3 5 2 3" xfId="5746" xr:uid="{00000000-0005-0000-0000-000078140000}"/>
    <cellStyle name="Normal 4 3 3 2 3 5 3" xfId="5747" xr:uid="{00000000-0005-0000-0000-000079140000}"/>
    <cellStyle name="Normal 4 3 3 2 3 5 4" xfId="5748" xr:uid="{00000000-0005-0000-0000-00007A140000}"/>
    <cellStyle name="Normal 4 3 3 2 3 5 5" xfId="5749" xr:uid="{00000000-0005-0000-0000-00007B140000}"/>
    <cellStyle name="Normal 4 3 3 2 3 6" xfId="5750" xr:uid="{00000000-0005-0000-0000-00007C140000}"/>
    <cellStyle name="Normal 4 3 3 2 3 6 2" xfId="5751" xr:uid="{00000000-0005-0000-0000-00007D140000}"/>
    <cellStyle name="Normal 4 3 3 2 3 6 3" xfId="5752" xr:uid="{00000000-0005-0000-0000-00007E140000}"/>
    <cellStyle name="Normal 4 3 3 2 3 7" xfId="5753" xr:uid="{00000000-0005-0000-0000-00007F140000}"/>
    <cellStyle name="Normal 4 3 3 2 3 8" xfId="5754" xr:uid="{00000000-0005-0000-0000-000080140000}"/>
    <cellStyle name="Normal 4 3 3 2 3 9" xfId="5755" xr:uid="{00000000-0005-0000-0000-000081140000}"/>
    <cellStyle name="Normal 4 3 3 2 4" xfId="5756" xr:uid="{00000000-0005-0000-0000-000082140000}"/>
    <cellStyle name="Normal 4 3 3 2 4 2" xfId="5757" xr:uid="{00000000-0005-0000-0000-000083140000}"/>
    <cellStyle name="Normal 4 3 3 2 4 2 2" xfId="5758" xr:uid="{00000000-0005-0000-0000-000084140000}"/>
    <cellStyle name="Normal 4 3 3 2 4 2 2 2" xfId="5759" xr:uid="{00000000-0005-0000-0000-000085140000}"/>
    <cellStyle name="Normal 4 3 3 2 4 2 2 2 2" xfId="5760" xr:uid="{00000000-0005-0000-0000-000086140000}"/>
    <cellStyle name="Normal 4 3 3 2 4 2 2 2 2 2" xfId="5761" xr:uid="{00000000-0005-0000-0000-000087140000}"/>
    <cellStyle name="Normal 4 3 3 2 4 2 2 2 2 3" xfId="5762" xr:uid="{00000000-0005-0000-0000-000088140000}"/>
    <cellStyle name="Normal 4 3 3 2 4 2 2 2 3" xfId="5763" xr:uid="{00000000-0005-0000-0000-000089140000}"/>
    <cellStyle name="Normal 4 3 3 2 4 2 2 2 4" xfId="5764" xr:uid="{00000000-0005-0000-0000-00008A140000}"/>
    <cellStyle name="Normal 4 3 3 2 4 2 2 2 5" xfId="5765" xr:uid="{00000000-0005-0000-0000-00008B140000}"/>
    <cellStyle name="Normal 4 3 3 2 4 2 2 3" xfId="5766" xr:uid="{00000000-0005-0000-0000-00008C140000}"/>
    <cellStyle name="Normal 4 3 3 2 4 2 2 3 2" xfId="5767" xr:uid="{00000000-0005-0000-0000-00008D140000}"/>
    <cellStyle name="Normal 4 3 3 2 4 2 2 3 2 2" xfId="5768" xr:uid="{00000000-0005-0000-0000-00008E140000}"/>
    <cellStyle name="Normal 4 3 3 2 4 2 2 3 2 3" xfId="5769" xr:uid="{00000000-0005-0000-0000-00008F140000}"/>
    <cellStyle name="Normal 4 3 3 2 4 2 2 3 3" xfId="5770" xr:uid="{00000000-0005-0000-0000-000090140000}"/>
    <cellStyle name="Normal 4 3 3 2 4 2 2 3 4" xfId="5771" xr:uid="{00000000-0005-0000-0000-000091140000}"/>
    <cellStyle name="Normal 4 3 3 2 4 2 2 3 5" xfId="5772" xr:uid="{00000000-0005-0000-0000-000092140000}"/>
    <cellStyle name="Normal 4 3 3 2 4 2 2 4" xfId="5773" xr:uid="{00000000-0005-0000-0000-000093140000}"/>
    <cellStyle name="Normal 4 3 3 2 4 2 2 4 2" xfId="5774" xr:uid="{00000000-0005-0000-0000-000094140000}"/>
    <cellStyle name="Normal 4 3 3 2 4 2 2 4 3" xfId="5775" xr:uid="{00000000-0005-0000-0000-000095140000}"/>
    <cellStyle name="Normal 4 3 3 2 4 2 2 5" xfId="5776" xr:uid="{00000000-0005-0000-0000-000096140000}"/>
    <cellStyle name="Normal 4 3 3 2 4 2 2 6" xfId="5777" xr:uid="{00000000-0005-0000-0000-000097140000}"/>
    <cellStyle name="Normal 4 3 3 2 4 2 2 7" xfId="5778" xr:uid="{00000000-0005-0000-0000-000098140000}"/>
    <cellStyle name="Normal 4 3 3 2 4 2 3" xfId="5779" xr:uid="{00000000-0005-0000-0000-000099140000}"/>
    <cellStyle name="Normal 4 3 3 2 4 2 3 2" xfId="5780" xr:uid="{00000000-0005-0000-0000-00009A140000}"/>
    <cellStyle name="Normal 4 3 3 2 4 2 3 2 2" xfId="5781" xr:uid="{00000000-0005-0000-0000-00009B140000}"/>
    <cellStyle name="Normal 4 3 3 2 4 2 3 2 3" xfId="5782" xr:uid="{00000000-0005-0000-0000-00009C140000}"/>
    <cellStyle name="Normal 4 3 3 2 4 2 3 3" xfId="5783" xr:uid="{00000000-0005-0000-0000-00009D140000}"/>
    <cellStyle name="Normal 4 3 3 2 4 2 3 4" xfId="5784" xr:uid="{00000000-0005-0000-0000-00009E140000}"/>
    <cellStyle name="Normal 4 3 3 2 4 2 3 5" xfId="5785" xr:uid="{00000000-0005-0000-0000-00009F140000}"/>
    <cellStyle name="Normal 4 3 3 2 4 2 4" xfId="5786" xr:uid="{00000000-0005-0000-0000-0000A0140000}"/>
    <cellStyle name="Normal 4 3 3 2 4 2 4 2" xfId="5787" xr:uid="{00000000-0005-0000-0000-0000A1140000}"/>
    <cellStyle name="Normal 4 3 3 2 4 2 4 2 2" xfId="5788" xr:uid="{00000000-0005-0000-0000-0000A2140000}"/>
    <cellStyle name="Normal 4 3 3 2 4 2 4 2 3" xfId="5789" xr:uid="{00000000-0005-0000-0000-0000A3140000}"/>
    <cellStyle name="Normal 4 3 3 2 4 2 4 3" xfId="5790" xr:uid="{00000000-0005-0000-0000-0000A4140000}"/>
    <cellStyle name="Normal 4 3 3 2 4 2 4 4" xfId="5791" xr:uid="{00000000-0005-0000-0000-0000A5140000}"/>
    <cellStyle name="Normal 4 3 3 2 4 2 4 5" xfId="5792" xr:uid="{00000000-0005-0000-0000-0000A6140000}"/>
    <cellStyle name="Normal 4 3 3 2 4 2 5" xfId="5793" xr:uid="{00000000-0005-0000-0000-0000A7140000}"/>
    <cellStyle name="Normal 4 3 3 2 4 2 5 2" xfId="5794" xr:uid="{00000000-0005-0000-0000-0000A8140000}"/>
    <cellStyle name="Normal 4 3 3 2 4 2 5 3" xfId="5795" xr:uid="{00000000-0005-0000-0000-0000A9140000}"/>
    <cellStyle name="Normal 4 3 3 2 4 2 6" xfId="5796" xr:uid="{00000000-0005-0000-0000-0000AA140000}"/>
    <cellStyle name="Normal 4 3 3 2 4 2 7" xfId="5797" xr:uid="{00000000-0005-0000-0000-0000AB140000}"/>
    <cellStyle name="Normal 4 3 3 2 4 2 8" xfId="5798" xr:uid="{00000000-0005-0000-0000-0000AC140000}"/>
    <cellStyle name="Normal 4 3 3 2 4 3" xfId="5799" xr:uid="{00000000-0005-0000-0000-0000AD140000}"/>
    <cellStyle name="Normal 4 3 3 2 4 3 2" xfId="5800" xr:uid="{00000000-0005-0000-0000-0000AE140000}"/>
    <cellStyle name="Normal 4 3 3 2 4 3 2 2" xfId="5801" xr:uid="{00000000-0005-0000-0000-0000AF140000}"/>
    <cellStyle name="Normal 4 3 3 2 4 3 2 2 2" xfId="5802" xr:uid="{00000000-0005-0000-0000-0000B0140000}"/>
    <cellStyle name="Normal 4 3 3 2 4 3 2 2 3" xfId="5803" xr:uid="{00000000-0005-0000-0000-0000B1140000}"/>
    <cellStyle name="Normal 4 3 3 2 4 3 2 3" xfId="5804" xr:uid="{00000000-0005-0000-0000-0000B2140000}"/>
    <cellStyle name="Normal 4 3 3 2 4 3 2 4" xfId="5805" xr:uid="{00000000-0005-0000-0000-0000B3140000}"/>
    <cellStyle name="Normal 4 3 3 2 4 3 2 5" xfId="5806" xr:uid="{00000000-0005-0000-0000-0000B4140000}"/>
    <cellStyle name="Normal 4 3 3 2 4 3 3" xfId="5807" xr:uid="{00000000-0005-0000-0000-0000B5140000}"/>
    <cellStyle name="Normal 4 3 3 2 4 3 3 2" xfId="5808" xr:uid="{00000000-0005-0000-0000-0000B6140000}"/>
    <cellStyle name="Normal 4 3 3 2 4 3 3 2 2" xfId="5809" xr:uid="{00000000-0005-0000-0000-0000B7140000}"/>
    <cellStyle name="Normal 4 3 3 2 4 3 3 2 3" xfId="5810" xr:uid="{00000000-0005-0000-0000-0000B8140000}"/>
    <cellStyle name="Normal 4 3 3 2 4 3 3 3" xfId="5811" xr:uid="{00000000-0005-0000-0000-0000B9140000}"/>
    <cellStyle name="Normal 4 3 3 2 4 3 3 4" xfId="5812" xr:uid="{00000000-0005-0000-0000-0000BA140000}"/>
    <cellStyle name="Normal 4 3 3 2 4 3 3 5" xfId="5813" xr:uid="{00000000-0005-0000-0000-0000BB140000}"/>
    <cellStyle name="Normal 4 3 3 2 4 3 4" xfId="5814" xr:uid="{00000000-0005-0000-0000-0000BC140000}"/>
    <cellStyle name="Normal 4 3 3 2 4 3 4 2" xfId="5815" xr:uid="{00000000-0005-0000-0000-0000BD140000}"/>
    <cellStyle name="Normal 4 3 3 2 4 3 4 3" xfId="5816" xr:uid="{00000000-0005-0000-0000-0000BE140000}"/>
    <cellStyle name="Normal 4 3 3 2 4 3 5" xfId="5817" xr:uid="{00000000-0005-0000-0000-0000BF140000}"/>
    <cellStyle name="Normal 4 3 3 2 4 3 6" xfId="5818" xr:uid="{00000000-0005-0000-0000-0000C0140000}"/>
    <cellStyle name="Normal 4 3 3 2 4 3 7" xfId="5819" xr:uid="{00000000-0005-0000-0000-0000C1140000}"/>
    <cellStyle name="Normal 4 3 3 2 4 4" xfId="5820" xr:uid="{00000000-0005-0000-0000-0000C2140000}"/>
    <cellStyle name="Normal 4 3 3 2 4 4 2" xfId="5821" xr:uid="{00000000-0005-0000-0000-0000C3140000}"/>
    <cellStyle name="Normal 4 3 3 2 4 4 2 2" xfId="5822" xr:uid="{00000000-0005-0000-0000-0000C4140000}"/>
    <cellStyle name="Normal 4 3 3 2 4 4 2 3" xfId="5823" xr:uid="{00000000-0005-0000-0000-0000C5140000}"/>
    <cellStyle name="Normal 4 3 3 2 4 4 3" xfId="5824" xr:uid="{00000000-0005-0000-0000-0000C6140000}"/>
    <cellStyle name="Normal 4 3 3 2 4 4 4" xfId="5825" xr:uid="{00000000-0005-0000-0000-0000C7140000}"/>
    <cellStyle name="Normal 4 3 3 2 4 4 5" xfId="5826" xr:uid="{00000000-0005-0000-0000-0000C8140000}"/>
    <cellStyle name="Normal 4 3 3 2 4 5" xfId="5827" xr:uid="{00000000-0005-0000-0000-0000C9140000}"/>
    <cellStyle name="Normal 4 3 3 2 4 5 2" xfId="5828" xr:uid="{00000000-0005-0000-0000-0000CA140000}"/>
    <cellStyle name="Normal 4 3 3 2 4 5 2 2" xfId="5829" xr:uid="{00000000-0005-0000-0000-0000CB140000}"/>
    <cellStyle name="Normal 4 3 3 2 4 5 2 3" xfId="5830" xr:uid="{00000000-0005-0000-0000-0000CC140000}"/>
    <cellStyle name="Normal 4 3 3 2 4 5 3" xfId="5831" xr:uid="{00000000-0005-0000-0000-0000CD140000}"/>
    <cellStyle name="Normal 4 3 3 2 4 5 4" xfId="5832" xr:uid="{00000000-0005-0000-0000-0000CE140000}"/>
    <cellStyle name="Normal 4 3 3 2 4 5 5" xfId="5833" xr:uid="{00000000-0005-0000-0000-0000CF140000}"/>
    <cellStyle name="Normal 4 3 3 2 4 6" xfId="5834" xr:uid="{00000000-0005-0000-0000-0000D0140000}"/>
    <cellStyle name="Normal 4 3 3 2 4 6 2" xfId="5835" xr:uid="{00000000-0005-0000-0000-0000D1140000}"/>
    <cellStyle name="Normal 4 3 3 2 4 6 3" xfId="5836" xr:uid="{00000000-0005-0000-0000-0000D2140000}"/>
    <cellStyle name="Normal 4 3 3 2 4 7" xfId="5837" xr:uid="{00000000-0005-0000-0000-0000D3140000}"/>
    <cellStyle name="Normal 4 3 3 2 4 8" xfId="5838" xr:uid="{00000000-0005-0000-0000-0000D4140000}"/>
    <cellStyle name="Normal 4 3 3 2 4 9" xfId="5839" xr:uid="{00000000-0005-0000-0000-0000D5140000}"/>
    <cellStyle name="Normal 4 3 3 2 5" xfId="5840" xr:uid="{00000000-0005-0000-0000-0000D6140000}"/>
    <cellStyle name="Normal 4 3 3 2 5 2" xfId="5841" xr:uid="{00000000-0005-0000-0000-0000D7140000}"/>
    <cellStyle name="Normal 4 3 3 2 5 2 2" xfId="5842" xr:uid="{00000000-0005-0000-0000-0000D8140000}"/>
    <cellStyle name="Normal 4 3 3 2 5 2 2 2" xfId="5843" xr:uid="{00000000-0005-0000-0000-0000D9140000}"/>
    <cellStyle name="Normal 4 3 3 2 5 2 2 2 2" xfId="5844" xr:uid="{00000000-0005-0000-0000-0000DA140000}"/>
    <cellStyle name="Normal 4 3 3 2 5 2 2 2 3" xfId="5845" xr:uid="{00000000-0005-0000-0000-0000DB140000}"/>
    <cellStyle name="Normal 4 3 3 2 5 2 2 3" xfId="5846" xr:uid="{00000000-0005-0000-0000-0000DC140000}"/>
    <cellStyle name="Normal 4 3 3 2 5 2 2 4" xfId="5847" xr:uid="{00000000-0005-0000-0000-0000DD140000}"/>
    <cellStyle name="Normal 4 3 3 2 5 2 2 5" xfId="5848" xr:uid="{00000000-0005-0000-0000-0000DE140000}"/>
    <cellStyle name="Normal 4 3 3 2 5 2 3" xfId="5849" xr:uid="{00000000-0005-0000-0000-0000DF140000}"/>
    <cellStyle name="Normal 4 3 3 2 5 2 3 2" xfId="5850" xr:uid="{00000000-0005-0000-0000-0000E0140000}"/>
    <cellStyle name="Normal 4 3 3 2 5 2 3 2 2" xfId="5851" xr:uid="{00000000-0005-0000-0000-0000E1140000}"/>
    <cellStyle name="Normal 4 3 3 2 5 2 3 2 3" xfId="5852" xr:uid="{00000000-0005-0000-0000-0000E2140000}"/>
    <cellStyle name="Normal 4 3 3 2 5 2 3 3" xfId="5853" xr:uid="{00000000-0005-0000-0000-0000E3140000}"/>
    <cellStyle name="Normal 4 3 3 2 5 2 3 4" xfId="5854" xr:uid="{00000000-0005-0000-0000-0000E4140000}"/>
    <cellStyle name="Normal 4 3 3 2 5 2 3 5" xfId="5855" xr:uid="{00000000-0005-0000-0000-0000E5140000}"/>
    <cellStyle name="Normal 4 3 3 2 5 2 4" xfId="5856" xr:uid="{00000000-0005-0000-0000-0000E6140000}"/>
    <cellStyle name="Normal 4 3 3 2 5 2 4 2" xfId="5857" xr:uid="{00000000-0005-0000-0000-0000E7140000}"/>
    <cellStyle name="Normal 4 3 3 2 5 2 4 3" xfId="5858" xr:uid="{00000000-0005-0000-0000-0000E8140000}"/>
    <cellStyle name="Normal 4 3 3 2 5 2 5" xfId="5859" xr:uid="{00000000-0005-0000-0000-0000E9140000}"/>
    <cellStyle name="Normal 4 3 3 2 5 2 6" xfId="5860" xr:uid="{00000000-0005-0000-0000-0000EA140000}"/>
    <cellStyle name="Normal 4 3 3 2 5 2 7" xfId="5861" xr:uid="{00000000-0005-0000-0000-0000EB140000}"/>
    <cellStyle name="Normal 4 3 3 2 5 3" xfId="5862" xr:uid="{00000000-0005-0000-0000-0000EC140000}"/>
    <cellStyle name="Normal 4 3 3 2 5 3 2" xfId="5863" xr:uid="{00000000-0005-0000-0000-0000ED140000}"/>
    <cellStyle name="Normal 4 3 3 2 5 3 2 2" xfId="5864" xr:uid="{00000000-0005-0000-0000-0000EE140000}"/>
    <cellStyle name="Normal 4 3 3 2 5 3 2 3" xfId="5865" xr:uid="{00000000-0005-0000-0000-0000EF140000}"/>
    <cellStyle name="Normal 4 3 3 2 5 3 3" xfId="5866" xr:uid="{00000000-0005-0000-0000-0000F0140000}"/>
    <cellStyle name="Normal 4 3 3 2 5 3 4" xfId="5867" xr:uid="{00000000-0005-0000-0000-0000F1140000}"/>
    <cellStyle name="Normal 4 3 3 2 5 3 5" xfId="5868" xr:uid="{00000000-0005-0000-0000-0000F2140000}"/>
    <cellStyle name="Normal 4 3 3 2 5 4" xfId="5869" xr:uid="{00000000-0005-0000-0000-0000F3140000}"/>
    <cellStyle name="Normal 4 3 3 2 5 4 2" xfId="5870" xr:uid="{00000000-0005-0000-0000-0000F4140000}"/>
    <cellStyle name="Normal 4 3 3 2 5 4 2 2" xfId="5871" xr:uid="{00000000-0005-0000-0000-0000F5140000}"/>
    <cellStyle name="Normal 4 3 3 2 5 4 2 3" xfId="5872" xr:uid="{00000000-0005-0000-0000-0000F6140000}"/>
    <cellStyle name="Normal 4 3 3 2 5 4 3" xfId="5873" xr:uid="{00000000-0005-0000-0000-0000F7140000}"/>
    <cellStyle name="Normal 4 3 3 2 5 4 4" xfId="5874" xr:uid="{00000000-0005-0000-0000-0000F8140000}"/>
    <cellStyle name="Normal 4 3 3 2 5 4 5" xfId="5875" xr:uid="{00000000-0005-0000-0000-0000F9140000}"/>
    <cellStyle name="Normal 4 3 3 2 5 5" xfId="5876" xr:uid="{00000000-0005-0000-0000-0000FA140000}"/>
    <cellStyle name="Normal 4 3 3 2 5 5 2" xfId="5877" xr:uid="{00000000-0005-0000-0000-0000FB140000}"/>
    <cellStyle name="Normal 4 3 3 2 5 5 3" xfId="5878" xr:uid="{00000000-0005-0000-0000-0000FC140000}"/>
    <cellStyle name="Normal 4 3 3 2 5 6" xfId="5879" xr:uid="{00000000-0005-0000-0000-0000FD140000}"/>
    <cellStyle name="Normal 4 3 3 2 5 7" xfId="5880" xr:uid="{00000000-0005-0000-0000-0000FE140000}"/>
    <cellStyle name="Normal 4 3 3 2 5 8" xfId="5881" xr:uid="{00000000-0005-0000-0000-0000FF140000}"/>
    <cellStyle name="Normal 4 3 3 2 6" xfId="5882" xr:uid="{00000000-0005-0000-0000-000000150000}"/>
    <cellStyle name="Normal 4 3 3 2 6 2" xfId="5883" xr:uid="{00000000-0005-0000-0000-000001150000}"/>
    <cellStyle name="Normal 4 3 3 2 6 2 2" xfId="5884" xr:uid="{00000000-0005-0000-0000-000002150000}"/>
    <cellStyle name="Normal 4 3 3 2 6 2 2 2" xfId="5885" xr:uid="{00000000-0005-0000-0000-000003150000}"/>
    <cellStyle name="Normal 4 3 3 2 6 2 2 3" xfId="5886" xr:uid="{00000000-0005-0000-0000-000004150000}"/>
    <cellStyle name="Normal 4 3 3 2 6 2 3" xfId="5887" xr:uid="{00000000-0005-0000-0000-000005150000}"/>
    <cellStyle name="Normal 4 3 3 2 6 2 4" xfId="5888" xr:uid="{00000000-0005-0000-0000-000006150000}"/>
    <cellStyle name="Normal 4 3 3 2 6 2 5" xfId="5889" xr:uid="{00000000-0005-0000-0000-000007150000}"/>
    <cellStyle name="Normal 4 3 3 2 6 3" xfId="5890" xr:uid="{00000000-0005-0000-0000-000008150000}"/>
    <cellStyle name="Normal 4 3 3 2 6 3 2" xfId="5891" xr:uid="{00000000-0005-0000-0000-000009150000}"/>
    <cellStyle name="Normal 4 3 3 2 6 3 2 2" xfId="5892" xr:uid="{00000000-0005-0000-0000-00000A150000}"/>
    <cellStyle name="Normal 4 3 3 2 6 3 2 3" xfId="5893" xr:uid="{00000000-0005-0000-0000-00000B150000}"/>
    <cellStyle name="Normal 4 3 3 2 6 3 3" xfId="5894" xr:uid="{00000000-0005-0000-0000-00000C150000}"/>
    <cellStyle name="Normal 4 3 3 2 6 3 4" xfId="5895" xr:uid="{00000000-0005-0000-0000-00000D150000}"/>
    <cellStyle name="Normal 4 3 3 2 6 3 5" xfId="5896" xr:uid="{00000000-0005-0000-0000-00000E150000}"/>
    <cellStyle name="Normal 4 3 3 2 6 4" xfId="5897" xr:uid="{00000000-0005-0000-0000-00000F150000}"/>
    <cellStyle name="Normal 4 3 3 2 6 4 2" xfId="5898" xr:uid="{00000000-0005-0000-0000-000010150000}"/>
    <cellStyle name="Normal 4 3 3 2 6 4 3" xfId="5899" xr:uid="{00000000-0005-0000-0000-000011150000}"/>
    <cellStyle name="Normal 4 3 3 2 6 5" xfId="5900" xr:uid="{00000000-0005-0000-0000-000012150000}"/>
    <cellStyle name="Normal 4 3 3 2 6 6" xfId="5901" xr:uid="{00000000-0005-0000-0000-000013150000}"/>
    <cellStyle name="Normal 4 3 3 2 6 7" xfId="5902" xr:uid="{00000000-0005-0000-0000-000014150000}"/>
    <cellStyle name="Normal 4 3 3 2 7" xfId="5903" xr:uid="{00000000-0005-0000-0000-000015150000}"/>
    <cellStyle name="Normal 4 3 3 2 7 2" xfId="5904" xr:uid="{00000000-0005-0000-0000-000016150000}"/>
    <cellStyle name="Normal 4 3 3 2 7 2 2" xfId="5905" xr:uid="{00000000-0005-0000-0000-000017150000}"/>
    <cellStyle name="Normal 4 3 3 2 7 2 3" xfId="5906" xr:uid="{00000000-0005-0000-0000-000018150000}"/>
    <cellStyle name="Normal 4 3 3 2 7 3" xfId="5907" xr:uid="{00000000-0005-0000-0000-000019150000}"/>
    <cellStyle name="Normal 4 3 3 2 7 4" xfId="5908" xr:uid="{00000000-0005-0000-0000-00001A150000}"/>
    <cellStyle name="Normal 4 3 3 2 7 5" xfId="5909" xr:uid="{00000000-0005-0000-0000-00001B150000}"/>
    <cellStyle name="Normal 4 3 3 2 8" xfId="5910" xr:uid="{00000000-0005-0000-0000-00001C150000}"/>
    <cellStyle name="Normal 4 3 3 2 8 2" xfId="5911" xr:uid="{00000000-0005-0000-0000-00001D150000}"/>
    <cellStyle name="Normal 4 3 3 2 8 2 2" xfId="5912" xr:uid="{00000000-0005-0000-0000-00001E150000}"/>
    <cellStyle name="Normal 4 3 3 2 8 2 3" xfId="5913" xr:uid="{00000000-0005-0000-0000-00001F150000}"/>
    <cellStyle name="Normal 4 3 3 2 8 3" xfId="5914" xr:uid="{00000000-0005-0000-0000-000020150000}"/>
    <cellStyle name="Normal 4 3 3 2 8 4" xfId="5915" xr:uid="{00000000-0005-0000-0000-000021150000}"/>
    <cellStyle name="Normal 4 3 3 2 8 5" xfId="5916" xr:uid="{00000000-0005-0000-0000-000022150000}"/>
    <cellStyle name="Normal 4 3 3 2 9" xfId="5917" xr:uid="{00000000-0005-0000-0000-000023150000}"/>
    <cellStyle name="Normal 4 3 3 2 9 2" xfId="5918" xr:uid="{00000000-0005-0000-0000-000024150000}"/>
    <cellStyle name="Normal 4 3 3 2 9 3" xfId="5919" xr:uid="{00000000-0005-0000-0000-000025150000}"/>
    <cellStyle name="Normal 4 3 3 3" xfId="5920" xr:uid="{00000000-0005-0000-0000-000026150000}"/>
    <cellStyle name="Normal 4 3 3 3 2" xfId="5921" xr:uid="{00000000-0005-0000-0000-000027150000}"/>
    <cellStyle name="Normal 4 3 3 3 2 2" xfId="5922" xr:uid="{00000000-0005-0000-0000-000028150000}"/>
    <cellStyle name="Normal 4 3 3 3 2 2 2" xfId="5923" xr:uid="{00000000-0005-0000-0000-000029150000}"/>
    <cellStyle name="Normal 4 3 3 3 2 2 2 2" xfId="5924" xr:uid="{00000000-0005-0000-0000-00002A150000}"/>
    <cellStyle name="Normal 4 3 3 3 2 2 2 2 2" xfId="5925" xr:uid="{00000000-0005-0000-0000-00002B150000}"/>
    <cellStyle name="Normal 4 3 3 3 2 2 2 2 3" xfId="5926" xr:uid="{00000000-0005-0000-0000-00002C150000}"/>
    <cellStyle name="Normal 4 3 3 3 2 2 2 3" xfId="5927" xr:uid="{00000000-0005-0000-0000-00002D150000}"/>
    <cellStyle name="Normal 4 3 3 3 2 2 2 4" xfId="5928" xr:uid="{00000000-0005-0000-0000-00002E150000}"/>
    <cellStyle name="Normal 4 3 3 3 2 2 2 5" xfId="5929" xr:uid="{00000000-0005-0000-0000-00002F150000}"/>
    <cellStyle name="Normal 4 3 3 3 2 2 3" xfId="5930" xr:uid="{00000000-0005-0000-0000-000030150000}"/>
    <cellStyle name="Normal 4 3 3 3 2 2 3 2" xfId="5931" xr:uid="{00000000-0005-0000-0000-000031150000}"/>
    <cellStyle name="Normal 4 3 3 3 2 2 3 2 2" xfId="5932" xr:uid="{00000000-0005-0000-0000-000032150000}"/>
    <cellStyle name="Normal 4 3 3 3 2 2 3 2 3" xfId="5933" xr:uid="{00000000-0005-0000-0000-000033150000}"/>
    <cellStyle name="Normal 4 3 3 3 2 2 3 3" xfId="5934" xr:uid="{00000000-0005-0000-0000-000034150000}"/>
    <cellStyle name="Normal 4 3 3 3 2 2 3 4" xfId="5935" xr:uid="{00000000-0005-0000-0000-000035150000}"/>
    <cellStyle name="Normal 4 3 3 3 2 2 3 5" xfId="5936" xr:uid="{00000000-0005-0000-0000-000036150000}"/>
    <cellStyle name="Normal 4 3 3 3 2 2 4" xfId="5937" xr:uid="{00000000-0005-0000-0000-000037150000}"/>
    <cellStyle name="Normal 4 3 3 3 2 2 4 2" xfId="5938" xr:uid="{00000000-0005-0000-0000-000038150000}"/>
    <cellStyle name="Normal 4 3 3 3 2 2 4 3" xfId="5939" xr:uid="{00000000-0005-0000-0000-000039150000}"/>
    <cellStyle name="Normal 4 3 3 3 2 2 5" xfId="5940" xr:uid="{00000000-0005-0000-0000-00003A150000}"/>
    <cellStyle name="Normal 4 3 3 3 2 2 6" xfId="5941" xr:uid="{00000000-0005-0000-0000-00003B150000}"/>
    <cellStyle name="Normal 4 3 3 3 2 2 7" xfId="5942" xr:uid="{00000000-0005-0000-0000-00003C150000}"/>
    <cellStyle name="Normal 4 3 3 3 2 3" xfId="5943" xr:uid="{00000000-0005-0000-0000-00003D150000}"/>
    <cellStyle name="Normal 4 3 3 3 2 3 2" xfId="5944" xr:uid="{00000000-0005-0000-0000-00003E150000}"/>
    <cellStyle name="Normal 4 3 3 3 2 3 2 2" xfId="5945" xr:uid="{00000000-0005-0000-0000-00003F150000}"/>
    <cellStyle name="Normal 4 3 3 3 2 3 2 3" xfId="5946" xr:uid="{00000000-0005-0000-0000-000040150000}"/>
    <cellStyle name="Normal 4 3 3 3 2 3 3" xfId="5947" xr:uid="{00000000-0005-0000-0000-000041150000}"/>
    <cellStyle name="Normal 4 3 3 3 2 3 4" xfId="5948" xr:uid="{00000000-0005-0000-0000-000042150000}"/>
    <cellStyle name="Normal 4 3 3 3 2 3 5" xfId="5949" xr:uid="{00000000-0005-0000-0000-000043150000}"/>
    <cellStyle name="Normal 4 3 3 3 2 4" xfId="5950" xr:uid="{00000000-0005-0000-0000-000044150000}"/>
    <cellStyle name="Normal 4 3 3 3 2 4 2" xfId="5951" xr:uid="{00000000-0005-0000-0000-000045150000}"/>
    <cellStyle name="Normal 4 3 3 3 2 4 2 2" xfId="5952" xr:uid="{00000000-0005-0000-0000-000046150000}"/>
    <cellStyle name="Normal 4 3 3 3 2 4 2 3" xfId="5953" xr:uid="{00000000-0005-0000-0000-000047150000}"/>
    <cellStyle name="Normal 4 3 3 3 2 4 3" xfId="5954" xr:uid="{00000000-0005-0000-0000-000048150000}"/>
    <cellStyle name="Normal 4 3 3 3 2 4 4" xfId="5955" xr:uid="{00000000-0005-0000-0000-000049150000}"/>
    <cellStyle name="Normal 4 3 3 3 2 4 5" xfId="5956" xr:uid="{00000000-0005-0000-0000-00004A150000}"/>
    <cellStyle name="Normal 4 3 3 3 2 5" xfId="5957" xr:uid="{00000000-0005-0000-0000-00004B150000}"/>
    <cellStyle name="Normal 4 3 3 3 2 5 2" xfId="5958" xr:uid="{00000000-0005-0000-0000-00004C150000}"/>
    <cellStyle name="Normal 4 3 3 3 2 5 3" xfId="5959" xr:uid="{00000000-0005-0000-0000-00004D150000}"/>
    <cellStyle name="Normal 4 3 3 3 2 6" xfId="5960" xr:uid="{00000000-0005-0000-0000-00004E150000}"/>
    <cellStyle name="Normal 4 3 3 3 2 7" xfId="5961" xr:uid="{00000000-0005-0000-0000-00004F150000}"/>
    <cellStyle name="Normal 4 3 3 3 2 8" xfId="5962" xr:uid="{00000000-0005-0000-0000-000050150000}"/>
    <cellStyle name="Normal 4 3 3 3 3" xfId="5963" xr:uid="{00000000-0005-0000-0000-000051150000}"/>
    <cellStyle name="Normal 4 3 3 3 3 2" xfId="5964" xr:uid="{00000000-0005-0000-0000-000052150000}"/>
    <cellStyle name="Normal 4 3 3 3 3 2 2" xfId="5965" xr:uid="{00000000-0005-0000-0000-000053150000}"/>
    <cellStyle name="Normal 4 3 3 3 3 2 2 2" xfId="5966" xr:uid="{00000000-0005-0000-0000-000054150000}"/>
    <cellStyle name="Normal 4 3 3 3 3 2 2 3" xfId="5967" xr:uid="{00000000-0005-0000-0000-000055150000}"/>
    <cellStyle name="Normal 4 3 3 3 3 2 3" xfId="5968" xr:uid="{00000000-0005-0000-0000-000056150000}"/>
    <cellStyle name="Normal 4 3 3 3 3 2 4" xfId="5969" xr:uid="{00000000-0005-0000-0000-000057150000}"/>
    <cellStyle name="Normal 4 3 3 3 3 2 5" xfId="5970" xr:uid="{00000000-0005-0000-0000-000058150000}"/>
    <cellStyle name="Normal 4 3 3 3 3 3" xfId="5971" xr:uid="{00000000-0005-0000-0000-000059150000}"/>
    <cellStyle name="Normal 4 3 3 3 3 3 2" xfId="5972" xr:uid="{00000000-0005-0000-0000-00005A150000}"/>
    <cellStyle name="Normal 4 3 3 3 3 3 2 2" xfId="5973" xr:uid="{00000000-0005-0000-0000-00005B150000}"/>
    <cellStyle name="Normal 4 3 3 3 3 3 2 3" xfId="5974" xr:uid="{00000000-0005-0000-0000-00005C150000}"/>
    <cellStyle name="Normal 4 3 3 3 3 3 3" xfId="5975" xr:uid="{00000000-0005-0000-0000-00005D150000}"/>
    <cellStyle name="Normal 4 3 3 3 3 3 4" xfId="5976" xr:uid="{00000000-0005-0000-0000-00005E150000}"/>
    <cellStyle name="Normal 4 3 3 3 3 3 5" xfId="5977" xr:uid="{00000000-0005-0000-0000-00005F150000}"/>
    <cellStyle name="Normal 4 3 3 3 3 4" xfId="5978" xr:uid="{00000000-0005-0000-0000-000060150000}"/>
    <cellStyle name="Normal 4 3 3 3 3 4 2" xfId="5979" xr:uid="{00000000-0005-0000-0000-000061150000}"/>
    <cellStyle name="Normal 4 3 3 3 3 4 3" xfId="5980" xr:uid="{00000000-0005-0000-0000-000062150000}"/>
    <cellStyle name="Normal 4 3 3 3 3 5" xfId="5981" xr:uid="{00000000-0005-0000-0000-000063150000}"/>
    <cellStyle name="Normal 4 3 3 3 3 6" xfId="5982" xr:uid="{00000000-0005-0000-0000-000064150000}"/>
    <cellStyle name="Normal 4 3 3 3 3 7" xfId="5983" xr:uid="{00000000-0005-0000-0000-000065150000}"/>
    <cellStyle name="Normal 4 3 3 3 4" xfId="5984" xr:uid="{00000000-0005-0000-0000-000066150000}"/>
    <cellStyle name="Normal 4 3 3 3 4 2" xfId="5985" xr:uid="{00000000-0005-0000-0000-000067150000}"/>
    <cellStyle name="Normal 4 3 3 3 4 2 2" xfId="5986" xr:uid="{00000000-0005-0000-0000-000068150000}"/>
    <cellStyle name="Normal 4 3 3 3 4 2 3" xfId="5987" xr:uid="{00000000-0005-0000-0000-000069150000}"/>
    <cellStyle name="Normal 4 3 3 3 4 3" xfId="5988" xr:uid="{00000000-0005-0000-0000-00006A150000}"/>
    <cellStyle name="Normal 4 3 3 3 4 4" xfId="5989" xr:uid="{00000000-0005-0000-0000-00006B150000}"/>
    <cellStyle name="Normal 4 3 3 3 4 5" xfId="5990" xr:uid="{00000000-0005-0000-0000-00006C150000}"/>
    <cellStyle name="Normal 4 3 3 3 5" xfId="5991" xr:uid="{00000000-0005-0000-0000-00006D150000}"/>
    <cellStyle name="Normal 4 3 3 3 5 2" xfId="5992" xr:uid="{00000000-0005-0000-0000-00006E150000}"/>
    <cellStyle name="Normal 4 3 3 3 5 2 2" xfId="5993" xr:uid="{00000000-0005-0000-0000-00006F150000}"/>
    <cellStyle name="Normal 4 3 3 3 5 2 3" xfId="5994" xr:uid="{00000000-0005-0000-0000-000070150000}"/>
    <cellStyle name="Normal 4 3 3 3 5 3" xfId="5995" xr:uid="{00000000-0005-0000-0000-000071150000}"/>
    <cellStyle name="Normal 4 3 3 3 5 4" xfId="5996" xr:uid="{00000000-0005-0000-0000-000072150000}"/>
    <cellStyle name="Normal 4 3 3 3 5 5" xfId="5997" xr:uid="{00000000-0005-0000-0000-000073150000}"/>
    <cellStyle name="Normal 4 3 3 3 6" xfId="5998" xr:uid="{00000000-0005-0000-0000-000074150000}"/>
    <cellStyle name="Normal 4 3 3 3 6 2" xfId="5999" xr:uid="{00000000-0005-0000-0000-000075150000}"/>
    <cellStyle name="Normal 4 3 3 3 6 3" xfId="6000" xr:uid="{00000000-0005-0000-0000-000076150000}"/>
    <cellStyle name="Normal 4 3 3 3 7" xfId="6001" xr:uid="{00000000-0005-0000-0000-000077150000}"/>
    <cellStyle name="Normal 4 3 3 3 8" xfId="6002" xr:uid="{00000000-0005-0000-0000-000078150000}"/>
    <cellStyle name="Normal 4 3 3 3 9" xfId="6003" xr:uid="{00000000-0005-0000-0000-000079150000}"/>
    <cellStyle name="Normal 4 3 3 4" xfId="6004" xr:uid="{00000000-0005-0000-0000-00007A150000}"/>
    <cellStyle name="Normal 4 3 3 4 2" xfId="6005" xr:uid="{00000000-0005-0000-0000-00007B150000}"/>
    <cellStyle name="Normal 4 3 3 4 2 2" xfId="6006" xr:uid="{00000000-0005-0000-0000-00007C150000}"/>
    <cellStyle name="Normal 4 3 3 4 2 2 2" xfId="6007" xr:uid="{00000000-0005-0000-0000-00007D150000}"/>
    <cellStyle name="Normal 4 3 3 4 2 2 2 2" xfId="6008" xr:uid="{00000000-0005-0000-0000-00007E150000}"/>
    <cellStyle name="Normal 4 3 3 4 2 2 2 2 2" xfId="6009" xr:uid="{00000000-0005-0000-0000-00007F150000}"/>
    <cellStyle name="Normal 4 3 3 4 2 2 2 2 3" xfId="6010" xr:uid="{00000000-0005-0000-0000-000080150000}"/>
    <cellStyle name="Normal 4 3 3 4 2 2 2 3" xfId="6011" xr:uid="{00000000-0005-0000-0000-000081150000}"/>
    <cellStyle name="Normal 4 3 3 4 2 2 2 4" xfId="6012" xr:uid="{00000000-0005-0000-0000-000082150000}"/>
    <cellStyle name="Normal 4 3 3 4 2 2 2 5" xfId="6013" xr:uid="{00000000-0005-0000-0000-000083150000}"/>
    <cellStyle name="Normal 4 3 3 4 2 2 3" xfId="6014" xr:uid="{00000000-0005-0000-0000-000084150000}"/>
    <cellStyle name="Normal 4 3 3 4 2 2 3 2" xfId="6015" xr:uid="{00000000-0005-0000-0000-000085150000}"/>
    <cellStyle name="Normal 4 3 3 4 2 2 3 2 2" xfId="6016" xr:uid="{00000000-0005-0000-0000-000086150000}"/>
    <cellStyle name="Normal 4 3 3 4 2 2 3 2 3" xfId="6017" xr:uid="{00000000-0005-0000-0000-000087150000}"/>
    <cellStyle name="Normal 4 3 3 4 2 2 3 3" xfId="6018" xr:uid="{00000000-0005-0000-0000-000088150000}"/>
    <cellStyle name="Normal 4 3 3 4 2 2 3 4" xfId="6019" xr:uid="{00000000-0005-0000-0000-000089150000}"/>
    <cellStyle name="Normal 4 3 3 4 2 2 3 5" xfId="6020" xr:uid="{00000000-0005-0000-0000-00008A150000}"/>
    <cellStyle name="Normal 4 3 3 4 2 2 4" xfId="6021" xr:uid="{00000000-0005-0000-0000-00008B150000}"/>
    <cellStyle name="Normal 4 3 3 4 2 2 4 2" xfId="6022" xr:uid="{00000000-0005-0000-0000-00008C150000}"/>
    <cellStyle name="Normal 4 3 3 4 2 2 4 3" xfId="6023" xr:uid="{00000000-0005-0000-0000-00008D150000}"/>
    <cellStyle name="Normal 4 3 3 4 2 2 5" xfId="6024" xr:uid="{00000000-0005-0000-0000-00008E150000}"/>
    <cellStyle name="Normal 4 3 3 4 2 2 6" xfId="6025" xr:uid="{00000000-0005-0000-0000-00008F150000}"/>
    <cellStyle name="Normal 4 3 3 4 2 2 7" xfId="6026" xr:uid="{00000000-0005-0000-0000-000090150000}"/>
    <cellStyle name="Normal 4 3 3 4 2 3" xfId="6027" xr:uid="{00000000-0005-0000-0000-000091150000}"/>
    <cellStyle name="Normal 4 3 3 4 2 3 2" xfId="6028" xr:uid="{00000000-0005-0000-0000-000092150000}"/>
    <cellStyle name="Normal 4 3 3 4 2 3 2 2" xfId="6029" xr:uid="{00000000-0005-0000-0000-000093150000}"/>
    <cellStyle name="Normal 4 3 3 4 2 3 2 3" xfId="6030" xr:uid="{00000000-0005-0000-0000-000094150000}"/>
    <cellStyle name="Normal 4 3 3 4 2 3 3" xfId="6031" xr:uid="{00000000-0005-0000-0000-000095150000}"/>
    <cellStyle name="Normal 4 3 3 4 2 3 4" xfId="6032" xr:uid="{00000000-0005-0000-0000-000096150000}"/>
    <cellStyle name="Normal 4 3 3 4 2 3 5" xfId="6033" xr:uid="{00000000-0005-0000-0000-000097150000}"/>
    <cellStyle name="Normal 4 3 3 4 2 4" xfId="6034" xr:uid="{00000000-0005-0000-0000-000098150000}"/>
    <cellStyle name="Normal 4 3 3 4 2 4 2" xfId="6035" xr:uid="{00000000-0005-0000-0000-000099150000}"/>
    <cellStyle name="Normal 4 3 3 4 2 4 2 2" xfId="6036" xr:uid="{00000000-0005-0000-0000-00009A150000}"/>
    <cellStyle name="Normal 4 3 3 4 2 4 2 3" xfId="6037" xr:uid="{00000000-0005-0000-0000-00009B150000}"/>
    <cellStyle name="Normal 4 3 3 4 2 4 3" xfId="6038" xr:uid="{00000000-0005-0000-0000-00009C150000}"/>
    <cellStyle name="Normal 4 3 3 4 2 4 4" xfId="6039" xr:uid="{00000000-0005-0000-0000-00009D150000}"/>
    <cellStyle name="Normal 4 3 3 4 2 4 5" xfId="6040" xr:uid="{00000000-0005-0000-0000-00009E150000}"/>
    <cellStyle name="Normal 4 3 3 4 2 5" xfId="6041" xr:uid="{00000000-0005-0000-0000-00009F150000}"/>
    <cellStyle name="Normal 4 3 3 4 2 5 2" xfId="6042" xr:uid="{00000000-0005-0000-0000-0000A0150000}"/>
    <cellStyle name="Normal 4 3 3 4 2 5 3" xfId="6043" xr:uid="{00000000-0005-0000-0000-0000A1150000}"/>
    <cellStyle name="Normal 4 3 3 4 2 6" xfId="6044" xr:uid="{00000000-0005-0000-0000-0000A2150000}"/>
    <cellStyle name="Normal 4 3 3 4 2 7" xfId="6045" xr:uid="{00000000-0005-0000-0000-0000A3150000}"/>
    <cellStyle name="Normal 4 3 3 4 2 8" xfId="6046" xr:uid="{00000000-0005-0000-0000-0000A4150000}"/>
    <cellStyle name="Normal 4 3 3 4 3" xfId="6047" xr:uid="{00000000-0005-0000-0000-0000A5150000}"/>
    <cellStyle name="Normal 4 3 3 4 3 2" xfId="6048" xr:uid="{00000000-0005-0000-0000-0000A6150000}"/>
    <cellStyle name="Normal 4 3 3 4 3 2 2" xfId="6049" xr:uid="{00000000-0005-0000-0000-0000A7150000}"/>
    <cellStyle name="Normal 4 3 3 4 3 2 2 2" xfId="6050" xr:uid="{00000000-0005-0000-0000-0000A8150000}"/>
    <cellStyle name="Normal 4 3 3 4 3 2 2 3" xfId="6051" xr:uid="{00000000-0005-0000-0000-0000A9150000}"/>
    <cellStyle name="Normal 4 3 3 4 3 2 3" xfId="6052" xr:uid="{00000000-0005-0000-0000-0000AA150000}"/>
    <cellStyle name="Normal 4 3 3 4 3 2 4" xfId="6053" xr:uid="{00000000-0005-0000-0000-0000AB150000}"/>
    <cellStyle name="Normal 4 3 3 4 3 2 5" xfId="6054" xr:uid="{00000000-0005-0000-0000-0000AC150000}"/>
    <cellStyle name="Normal 4 3 3 4 3 3" xfId="6055" xr:uid="{00000000-0005-0000-0000-0000AD150000}"/>
    <cellStyle name="Normal 4 3 3 4 3 3 2" xfId="6056" xr:uid="{00000000-0005-0000-0000-0000AE150000}"/>
    <cellStyle name="Normal 4 3 3 4 3 3 2 2" xfId="6057" xr:uid="{00000000-0005-0000-0000-0000AF150000}"/>
    <cellStyle name="Normal 4 3 3 4 3 3 2 3" xfId="6058" xr:uid="{00000000-0005-0000-0000-0000B0150000}"/>
    <cellStyle name="Normal 4 3 3 4 3 3 3" xfId="6059" xr:uid="{00000000-0005-0000-0000-0000B1150000}"/>
    <cellStyle name="Normal 4 3 3 4 3 3 4" xfId="6060" xr:uid="{00000000-0005-0000-0000-0000B2150000}"/>
    <cellStyle name="Normal 4 3 3 4 3 3 5" xfId="6061" xr:uid="{00000000-0005-0000-0000-0000B3150000}"/>
    <cellStyle name="Normal 4 3 3 4 3 4" xfId="6062" xr:uid="{00000000-0005-0000-0000-0000B4150000}"/>
    <cellStyle name="Normal 4 3 3 4 3 4 2" xfId="6063" xr:uid="{00000000-0005-0000-0000-0000B5150000}"/>
    <cellStyle name="Normal 4 3 3 4 3 4 3" xfId="6064" xr:uid="{00000000-0005-0000-0000-0000B6150000}"/>
    <cellStyle name="Normal 4 3 3 4 3 5" xfId="6065" xr:uid="{00000000-0005-0000-0000-0000B7150000}"/>
    <cellStyle name="Normal 4 3 3 4 3 6" xfId="6066" xr:uid="{00000000-0005-0000-0000-0000B8150000}"/>
    <cellStyle name="Normal 4 3 3 4 3 7" xfId="6067" xr:uid="{00000000-0005-0000-0000-0000B9150000}"/>
    <cellStyle name="Normal 4 3 3 4 4" xfId="6068" xr:uid="{00000000-0005-0000-0000-0000BA150000}"/>
    <cellStyle name="Normal 4 3 3 4 4 2" xfId="6069" xr:uid="{00000000-0005-0000-0000-0000BB150000}"/>
    <cellStyle name="Normal 4 3 3 4 4 2 2" xfId="6070" xr:uid="{00000000-0005-0000-0000-0000BC150000}"/>
    <cellStyle name="Normal 4 3 3 4 4 2 3" xfId="6071" xr:uid="{00000000-0005-0000-0000-0000BD150000}"/>
    <cellStyle name="Normal 4 3 3 4 4 3" xfId="6072" xr:uid="{00000000-0005-0000-0000-0000BE150000}"/>
    <cellStyle name="Normal 4 3 3 4 4 4" xfId="6073" xr:uid="{00000000-0005-0000-0000-0000BF150000}"/>
    <cellStyle name="Normal 4 3 3 4 4 5" xfId="6074" xr:uid="{00000000-0005-0000-0000-0000C0150000}"/>
    <cellStyle name="Normal 4 3 3 4 5" xfId="6075" xr:uid="{00000000-0005-0000-0000-0000C1150000}"/>
    <cellStyle name="Normal 4 3 3 4 5 2" xfId="6076" xr:uid="{00000000-0005-0000-0000-0000C2150000}"/>
    <cellStyle name="Normal 4 3 3 4 5 2 2" xfId="6077" xr:uid="{00000000-0005-0000-0000-0000C3150000}"/>
    <cellStyle name="Normal 4 3 3 4 5 2 3" xfId="6078" xr:uid="{00000000-0005-0000-0000-0000C4150000}"/>
    <cellStyle name="Normal 4 3 3 4 5 3" xfId="6079" xr:uid="{00000000-0005-0000-0000-0000C5150000}"/>
    <cellStyle name="Normal 4 3 3 4 5 4" xfId="6080" xr:uid="{00000000-0005-0000-0000-0000C6150000}"/>
    <cellStyle name="Normal 4 3 3 4 5 5" xfId="6081" xr:uid="{00000000-0005-0000-0000-0000C7150000}"/>
    <cellStyle name="Normal 4 3 3 4 6" xfId="6082" xr:uid="{00000000-0005-0000-0000-0000C8150000}"/>
    <cellStyle name="Normal 4 3 3 4 6 2" xfId="6083" xr:uid="{00000000-0005-0000-0000-0000C9150000}"/>
    <cellStyle name="Normal 4 3 3 4 6 3" xfId="6084" xr:uid="{00000000-0005-0000-0000-0000CA150000}"/>
    <cellStyle name="Normal 4 3 3 4 7" xfId="6085" xr:uid="{00000000-0005-0000-0000-0000CB150000}"/>
    <cellStyle name="Normal 4 3 3 4 8" xfId="6086" xr:uid="{00000000-0005-0000-0000-0000CC150000}"/>
    <cellStyle name="Normal 4 3 3 4 9" xfId="6087" xr:uid="{00000000-0005-0000-0000-0000CD150000}"/>
    <cellStyle name="Normal 4 3 3 5" xfId="6088" xr:uid="{00000000-0005-0000-0000-0000CE150000}"/>
    <cellStyle name="Normal 4 3 3 5 2" xfId="6089" xr:uid="{00000000-0005-0000-0000-0000CF150000}"/>
    <cellStyle name="Normal 4 3 3 5 2 2" xfId="6090" xr:uid="{00000000-0005-0000-0000-0000D0150000}"/>
    <cellStyle name="Normal 4 3 3 5 2 2 2" xfId="6091" xr:uid="{00000000-0005-0000-0000-0000D1150000}"/>
    <cellStyle name="Normal 4 3 3 5 2 2 2 2" xfId="6092" xr:uid="{00000000-0005-0000-0000-0000D2150000}"/>
    <cellStyle name="Normal 4 3 3 5 2 2 2 2 2" xfId="6093" xr:uid="{00000000-0005-0000-0000-0000D3150000}"/>
    <cellStyle name="Normal 4 3 3 5 2 2 2 2 3" xfId="6094" xr:uid="{00000000-0005-0000-0000-0000D4150000}"/>
    <cellStyle name="Normal 4 3 3 5 2 2 2 3" xfId="6095" xr:uid="{00000000-0005-0000-0000-0000D5150000}"/>
    <cellStyle name="Normal 4 3 3 5 2 2 2 4" xfId="6096" xr:uid="{00000000-0005-0000-0000-0000D6150000}"/>
    <cellStyle name="Normal 4 3 3 5 2 2 2 5" xfId="6097" xr:uid="{00000000-0005-0000-0000-0000D7150000}"/>
    <cellStyle name="Normal 4 3 3 5 2 2 3" xfId="6098" xr:uid="{00000000-0005-0000-0000-0000D8150000}"/>
    <cellStyle name="Normal 4 3 3 5 2 2 3 2" xfId="6099" xr:uid="{00000000-0005-0000-0000-0000D9150000}"/>
    <cellStyle name="Normal 4 3 3 5 2 2 3 2 2" xfId="6100" xr:uid="{00000000-0005-0000-0000-0000DA150000}"/>
    <cellStyle name="Normal 4 3 3 5 2 2 3 2 3" xfId="6101" xr:uid="{00000000-0005-0000-0000-0000DB150000}"/>
    <cellStyle name="Normal 4 3 3 5 2 2 3 3" xfId="6102" xr:uid="{00000000-0005-0000-0000-0000DC150000}"/>
    <cellStyle name="Normal 4 3 3 5 2 2 3 4" xfId="6103" xr:uid="{00000000-0005-0000-0000-0000DD150000}"/>
    <cellStyle name="Normal 4 3 3 5 2 2 3 5" xfId="6104" xr:uid="{00000000-0005-0000-0000-0000DE150000}"/>
    <cellStyle name="Normal 4 3 3 5 2 2 4" xfId="6105" xr:uid="{00000000-0005-0000-0000-0000DF150000}"/>
    <cellStyle name="Normal 4 3 3 5 2 2 4 2" xfId="6106" xr:uid="{00000000-0005-0000-0000-0000E0150000}"/>
    <cellStyle name="Normal 4 3 3 5 2 2 4 3" xfId="6107" xr:uid="{00000000-0005-0000-0000-0000E1150000}"/>
    <cellStyle name="Normal 4 3 3 5 2 2 5" xfId="6108" xr:uid="{00000000-0005-0000-0000-0000E2150000}"/>
    <cellStyle name="Normal 4 3 3 5 2 2 6" xfId="6109" xr:uid="{00000000-0005-0000-0000-0000E3150000}"/>
    <cellStyle name="Normal 4 3 3 5 2 2 7" xfId="6110" xr:uid="{00000000-0005-0000-0000-0000E4150000}"/>
    <cellStyle name="Normal 4 3 3 5 2 3" xfId="6111" xr:uid="{00000000-0005-0000-0000-0000E5150000}"/>
    <cellStyle name="Normal 4 3 3 5 2 3 2" xfId="6112" xr:uid="{00000000-0005-0000-0000-0000E6150000}"/>
    <cellStyle name="Normal 4 3 3 5 2 3 2 2" xfId="6113" xr:uid="{00000000-0005-0000-0000-0000E7150000}"/>
    <cellStyle name="Normal 4 3 3 5 2 3 2 3" xfId="6114" xr:uid="{00000000-0005-0000-0000-0000E8150000}"/>
    <cellStyle name="Normal 4 3 3 5 2 3 3" xfId="6115" xr:uid="{00000000-0005-0000-0000-0000E9150000}"/>
    <cellStyle name="Normal 4 3 3 5 2 3 4" xfId="6116" xr:uid="{00000000-0005-0000-0000-0000EA150000}"/>
    <cellStyle name="Normal 4 3 3 5 2 3 5" xfId="6117" xr:uid="{00000000-0005-0000-0000-0000EB150000}"/>
    <cellStyle name="Normal 4 3 3 5 2 4" xfId="6118" xr:uid="{00000000-0005-0000-0000-0000EC150000}"/>
    <cellStyle name="Normal 4 3 3 5 2 4 2" xfId="6119" xr:uid="{00000000-0005-0000-0000-0000ED150000}"/>
    <cellStyle name="Normal 4 3 3 5 2 4 2 2" xfId="6120" xr:uid="{00000000-0005-0000-0000-0000EE150000}"/>
    <cellStyle name="Normal 4 3 3 5 2 4 2 3" xfId="6121" xr:uid="{00000000-0005-0000-0000-0000EF150000}"/>
    <cellStyle name="Normal 4 3 3 5 2 4 3" xfId="6122" xr:uid="{00000000-0005-0000-0000-0000F0150000}"/>
    <cellStyle name="Normal 4 3 3 5 2 4 4" xfId="6123" xr:uid="{00000000-0005-0000-0000-0000F1150000}"/>
    <cellStyle name="Normal 4 3 3 5 2 4 5" xfId="6124" xr:uid="{00000000-0005-0000-0000-0000F2150000}"/>
    <cellStyle name="Normal 4 3 3 5 2 5" xfId="6125" xr:uid="{00000000-0005-0000-0000-0000F3150000}"/>
    <cellStyle name="Normal 4 3 3 5 2 5 2" xfId="6126" xr:uid="{00000000-0005-0000-0000-0000F4150000}"/>
    <cellStyle name="Normal 4 3 3 5 2 5 3" xfId="6127" xr:uid="{00000000-0005-0000-0000-0000F5150000}"/>
    <cellStyle name="Normal 4 3 3 5 2 6" xfId="6128" xr:uid="{00000000-0005-0000-0000-0000F6150000}"/>
    <cellStyle name="Normal 4 3 3 5 2 7" xfId="6129" xr:uid="{00000000-0005-0000-0000-0000F7150000}"/>
    <cellStyle name="Normal 4 3 3 5 2 8" xfId="6130" xr:uid="{00000000-0005-0000-0000-0000F8150000}"/>
    <cellStyle name="Normal 4 3 3 5 3" xfId="6131" xr:uid="{00000000-0005-0000-0000-0000F9150000}"/>
    <cellStyle name="Normal 4 3 3 5 3 2" xfId="6132" xr:uid="{00000000-0005-0000-0000-0000FA150000}"/>
    <cellStyle name="Normal 4 3 3 5 3 2 2" xfId="6133" xr:uid="{00000000-0005-0000-0000-0000FB150000}"/>
    <cellStyle name="Normal 4 3 3 5 3 2 2 2" xfId="6134" xr:uid="{00000000-0005-0000-0000-0000FC150000}"/>
    <cellStyle name="Normal 4 3 3 5 3 2 2 3" xfId="6135" xr:uid="{00000000-0005-0000-0000-0000FD150000}"/>
    <cellStyle name="Normal 4 3 3 5 3 2 3" xfId="6136" xr:uid="{00000000-0005-0000-0000-0000FE150000}"/>
    <cellStyle name="Normal 4 3 3 5 3 2 4" xfId="6137" xr:uid="{00000000-0005-0000-0000-0000FF150000}"/>
    <cellStyle name="Normal 4 3 3 5 3 2 5" xfId="6138" xr:uid="{00000000-0005-0000-0000-000000160000}"/>
    <cellStyle name="Normal 4 3 3 5 3 3" xfId="6139" xr:uid="{00000000-0005-0000-0000-000001160000}"/>
    <cellStyle name="Normal 4 3 3 5 3 3 2" xfId="6140" xr:uid="{00000000-0005-0000-0000-000002160000}"/>
    <cellStyle name="Normal 4 3 3 5 3 3 2 2" xfId="6141" xr:uid="{00000000-0005-0000-0000-000003160000}"/>
    <cellStyle name="Normal 4 3 3 5 3 3 2 3" xfId="6142" xr:uid="{00000000-0005-0000-0000-000004160000}"/>
    <cellStyle name="Normal 4 3 3 5 3 3 3" xfId="6143" xr:uid="{00000000-0005-0000-0000-000005160000}"/>
    <cellStyle name="Normal 4 3 3 5 3 3 4" xfId="6144" xr:uid="{00000000-0005-0000-0000-000006160000}"/>
    <cellStyle name="Normal 4 3 3 5 3 3 5" xfId="6145" xr:uid="{00000000-0005-0000-0000-000007160000}"/>
    <cellStyle name="Normal 4 3 3 5 3 4" xfId="6146" xr:uid="{00000000-0005-0000-0000-000008160000}"/>
    <cellStyle name="Normal 4 3 3 5 3 4 2" xfId="6147" xr:uid="{00000000-0005-0000-0000-000009160000}"/>
    <cellStyle name="Normal 4 3 3 5 3 4 3" xfId="6148" xr:uid="{00000000-0005-0000-0000-00000A160000}"/>
    <cellStyle name="Normal 4 3 3 5 3 5" xfId="6149" xr:uid="{00000000-0005-0000-0000-00000B160000}"/>
    <cellStyle name="Normal 4 3 3 5 3 6" xfId="6150" xr:uid="{00000000-0005-0000-0000-00000C160000}"/>
    <cellStyle name="Normal 4 3 3 5 3 7" xfId="6151" xr:uid="{00000000-0005-0000-0000-00000D160000}"/>
    <cellStyle name="Normal 4 3 3 5 4" xfId="6152" xr:uid="{00000000-0005-0000-0000-00000E160000}"/>
    <cellStyle name="Normal 4 3 3 5 4 2" xfId="6153" xr:uid="{00000000-0005-0000-0000-00000F160000}"/>
    <cellStyle name="Normal 4 3 3 5 4 2 2" xfId="6154" xr:uid="{00000000-0005-0000-0000-000010160000}"/>
    <cellStyle name="Normal 4 3 3 5 4 2 3" xfId="6155" xr:uid="{00000000-0005-0000-0000-000011160000}"/>
    <cellStyle name="Normal 4 3 3 5 4 3" xfId="6156" xr:uid="{00000000-0005-0000-0000-000012160000}"/>
    <cellStyle name="Normal 4 3 3 5 4 4" xfId="6157" xr:uid="{00000000-0005-0000-0000-000013160000}"/>
    <cellStyle name="Normal 4 3 3 5 4 5" xfId="6158" xr:uid="{00000000-0005-0000-0000-000014160000}"/>
    <cellStyle name="Normal 4 3 3 5 5" xfId="6159" xr:uid="{00000000-0005-0000-0000-000015160000}"/>
    <cellStyle name="Normal 4 3 3 5 5 2" xfId="6160" xr:uid="{00000000-0005-0000-0000-000016160000}"/>
    <cellStyle name="Normal 4 3 3 5 5 2 2" xfId="6161" xr:uid="{00000000-0005-0000-0000-000017160000}"/>
    <cellStyle name="Normal 4 3 3 5 5 2 3" xfId="6162" xr:uid="{00000000-0005-0000-0000-000018160000}"/>
    <cellStyle name="Normal 4 3 3 5 5 3" xfId="6163" xr:uid="{00000000-0005-0000-0000-000019160000}"/>
    <cellStyle name="Normal 4 3 3 5 5 4" xfId="6164" xr:uid="{00000000-0005-0000-0000-00001A160000}"/>
    <cellStyle name="Normal 4 3 3 5 5 5" xfId="6165" xr:uid="{00000000-0005-0000-0000-00001B160000}"/>
    <cellStyle name="Normal 4 3 3 5 6" xfId="6166" xr:uid="{00000000-0005-0000-0000-00001C160000}"/>
    <cellStyle name="Normal 4 3 3 5 6 2" xfId="6167" xr:uid="{00000000-0005-0000-0000-00001D160000}"/>
    <cellStyle name="Normal 4 3 3 5 6 3" xfId="6168" xr:uid="{00000000-0005-0000-0000-00001E160000}"/>
    <cellStyle name="Normal 4 3 3 5 7" xfId="6169" xr:uid="{00000000-0005-0000-0000-00001F160000}"/>
    <cellStyle name="Normal 4 3 3 5 8" xfId="6170" xr:uid="{00000000-0005-0000-0000-000020160000}"/>
    <cellStyle name="Normal 4 3 3 5 9" xfId="6171" xr:uid="{00000000-0005-0000-0000-000021160000}"/>
    <cellStyle name="Normal 4 3 3 6" xfId="6172" xr:uid="{00000000-0005-0000-0000-000022160000}"/>
    <cellStyle name="Normal 4 3 3 6 2" xfId="6173" xr:uid="{00000000-0005-0000-0000-000023160000}"/>
    <cellStyle name="Normal 4 3 3 6 2 2" xfId="6174" xr:uid="{00000000-0005-0000-0000-000024160000}"/>
    <cellStyle name="Normal 4 3 3 6 2 2 2" xfId="6175" xr:uid="{00000000-0005-0000-0000-000025160000}"/>
    <cellStyle name="Normal 4 3 3 6 2 2 2 2" xfId="6176" xr:uid="{00000000-0005-0000-0000-000026160000}"/>
    <cellStyle name="Normal 4 3 3 6 2 2 2 3" xfId="6177" xr:uid="{00000000-0005-0000-0000-000027160000}"/>
    <cellStyle name="Normal 4 3 3 6 2 2 3" xfId="6178" xr:uid="{00000000-0005-0000-0000-000028160000}"/>
    <cellStyle name="Normal 4 3 3 6 2 2 4" xfId="6179" xr:uid="{00000000-0005-0000-0000-000029160000}"/>
    <cellStyle name="Normal 4 3 3 6 2 2 5" xfId="6180" xr:uid="{00000000-0005-0000-0000-00002A160000}"/>
    <cellStyle name="Normal 4 3 3 6 2 3" xfId="6181" xr:uid="{00000000-0005-0000-0000-00002B160000}"/>
    <cellStyle name="Normal 4 3 3 6 2 3 2" xfId="6182" xr:uid="{00000000-0005-0000-0000-00002C160000}"/>
    <cellStyle name="Normal 4 3 3 6 2 3 2 2" xfId="6183" xr:uid="{00000000-0005-0000-0000-00002D160000}"/>
    <cellStyle name="Normal 4 3 3 6 2 3 2 3" xfId="6184" xr:uid="{00000000-0005-0000-0000-00002E160000}"/>
    <cellStyle name="Normal 4 3 3 6 2 3 3" xfId="6185" xr:uid="{00000000-0005-0000-0000-00002F160000}"/>
    <cellStyle name="Normal 4 3 3 6 2 3 4" xfId="6186" xr:uid="{00000000-0005-0000-0000-000030160000}"/>
    <cellStyle name="Normal 4 3 3 6 2 3 5" xfId="6187" xr:uid="{00000000-0005-0000-0000-000031160000}"/>
    <cellStyle name="Normal 4 3 3 6 2 4" xfId="6188" xr:uid="{00000000-0005-0000-0000-000032160000}"/>
    <cellStyle name="Normal 4 3 3 6 2 4 2" xfId="6189" xr:uid="{00000000-0005-0000-0000-000033160000}"/>
    <cellStyle name="Normal 4 3 3 6 2 4 3" xfId="6190" xr:uid="{00000000-0005-0000-0000-000034160000}"/>
    <cellStyle name="Normal 4 3 3 6 2 5" xfId="6191" xr:uid="{00000000-0005-0000-0000-000035160000}"/>
    <cellStyle name="Normal 4 3 3 6 2 6" xfId="6192" xr:uid="{00000000-0005-0000-0000-000036160000}"/>
    <cellStyle name="Normal 4 3 3 6 2 7" xfId="6193" xr:uid="{00000000-0005-0000-0000-000037160000}"/>
    <cellStyle name="Normal 4 3 3 6 3" xfId="6194" xr:uid="{00000000-0005-0000-0000-000038160000}"/>
    <cellStyle name="Normal 4 3 3 6 3 2" xfId="6195" xr:uid="{00000000-0005-0000-0000-000039160000}"/>
    <cellStyle name="Normal 4 3 3 6 3 2 2" xfId="6196" xr:uid="{00000000-0005-0000-0000-00003A160000}"/>
    <cellStyle name="Normal 4 3 3 6 3 2 3" xfId="6197" xr:uid="{00000000-0005-0000-0000-00003B160000}"/>
    <cellStyle name="Normal 4 3 3 6 3 3" xfId="6198" xr:uid="{00000000-0005-0000-0000-00003C160000}"/>
    <cellStyle name="Normal 4 3 3 6 3 4" xfId="6199" xr:uid="{00000000-0005-0000-0000-00003D160000}"/>
    <cellStyle name="Normal 4 3 3 6 3 5" xfId="6200" xr:uid="{00000000-0005-0000-0000-00003E160000}"/>
    <cellStyle name="Normal 4 3 3 6 4" xfId="6201" xr:uid="{00000000-0005-0000-0000-00003F160000}"/>
    <cellStyle name="Normal 4 3 3 6 4 2" xfId="6202" xr:uid="{00000000-0005-0000-0000-000040160000}"/>
    <cellStyle name="Normal 4 3 3 6 4 2 2" xfId="6203" xr:uid="{00000000-0005-0000-0000-000041160000}"/>
    <cellStyle name="Normal 4 3 3 6 4 2 3" xfId="6204" xr:uid="{00000000-0005-0000-0000-000042160000}"/>
    <cellStyle name="Normal 4 3 3 6 4 3" xfId="6205" xr:uid="{00000000-0005-0000-0000-000043160000}"/>
    <cellStyle name="Normal 4 3 3 6 4 4" xfId="6206" xr:uid="{00000000-0005-0000-0000-000044160000}"/>
    <cellStyle name="Normal 4 3 3 6 4 5" xfId="6207" xr:uid="{00000000-0005-0000-0000-000045160000}"/>
    <cellStyle name="Normal 4 3 3 6 5" xfId="6208" xr:uid="{00000000-0005-0000-0000-000046160000}"/>
    <cellStyle name="Normal 4 3 3 6 5 2" xfId="6209" xr:uid="{00000000-0005-0000-0000-000047160000}"/>
    <cellStyle name="Normal 4 3 3 6 5 3" xfId="6210" xr:uid="{00000000-0005-0000-0000-000048160000}"/>
    <cellStyle name="Normal 4 3 3 6 6" xfId="6211" xr:uid="{00000000-0005-0000-0000-000049160000}"/>
    <cellStyle name="Normal 4 3 3 6 7" xfId="6212" xr:uid="{00000000-0005-0000-0000-00004A160000}"/>
    <cellStyle name="Normal 4 3 3 6 8" xfId="6213" xr:uid="{00000000-0005-0000-0000-00004B160000}"/>
    <cellStyle name="Normal 4 3 3 7" xfId="6214" xr:uid="{00000000-0005-0000-0000-00004C160000}"/>
    <cellStyle name="Normal 4 3 3 7 2" xfId="6215" xr:uid="{00000000-0005-0000-0000-00004D160000}"/>
    <cellStyle name="Normal 4 3 3 7 2 2" xfId="6216" xr:uid="{00000000-0005-0000-0000-00004E160000}"/>
    <cellStyle name="Normal 4 3 3 7 2 2 2" xfId="6217" xr:uid="{00000000-0005-0000-0000-00004F160000}"/>
    <cellStyle name="Normal 4 3 3 7 2 2 3" xfId="6218" xr:uid="{00000000-0005-0000-0000-000050160000}"/>
    <cellStyle name="Normal 4 3 3 7 2 3" xfId="6219" xr:uid="{00000000-0005-0000-0000-000051160000}"/>
    <cellStyle name="Normal 4 3 3 7 2 4" xfId="6220" xr:uid="{00000000-0005-0000-0000-000052160000}"/>
    <cellStyle name="Normal 4 3 3 7 2 5" xfId="6221" xr:uid="{00000000-0005-0000-0000-000053160000}"/>
    <cellStyle name="Normal 4 3 3 7 3" xfId="6222" xr:uid="{00000000-0005-0000-0000-000054160000}"/>
    <cellStyle name="Normal 4 3 3 7 3 2" xfId="6223" xr:uid="{00000000-0005-0000-0000-000055160000}"/>
    <cellStyle name="Normal 4 3 3 7 3 2 2" xfId="6224" xr:uid="{00000000-0005-0000-0000-000056160000}"/>
    <cellStyle name="Normal 4 3 3 7 3 2 3" xfId="6225" xr:uid="{00000000-0005-0000-0000-000057160000}"/>
    <cellStyle name="Normal 4 3 3 7 3 3" xfId="6226" xr:uid="{00000000-0005-0000-0000-000058160000}"/>
    <cellStyle name="Normal 4 3 3 7 3 4" xfId="6227" xr:uid="{00000000-0005-0000-0000-000059160000}"/>
    <cellStyle name="Normal 4 3 3 7 3 5" xfId="6228" xr:uid="{00000000-0005-0000-0000-00005A160000}"/>
    <cellStyle name="Normal 4 3 3 7 4" xfId="6229" xr:uid="{00000000-0005-0000-0000-00005B160000}"/>
    <cellStyle name="Normal 4 3 3 7 4 2" xfId="6230" xr:uid="{00000000-0005-0000-0000-00005C160000}"/>
    <cellStyle name="Normal 4 3 3 7 4 3" xfId="6231" xr:uid="{00000000-0005-0000-0000-00005D160000}"/>
    <cellStyle name="Normal 4 3 3 7 5" xfId="6232" xr:uid="{00000000-0005-0000-0000-00005E160000}"/>
    <cellStyle name="Normal 4 3 3 7 6" xfId="6233" xr:uid="{00000000-0005-0000-0000-00005F160000}"/>
    <cellStyle name="Normal 4 3 3 7 7" xfId="6234" xr:uid="{00000000-0005-0000-0000-000060160000}"/>
    <cellStyle name="Normal 4 3 3 8" xfId="6235" xr:uid="{00000000-0005-0000-0000-000061160000}"/>
    <cellStyle name="Normal 4 3 3 8 2" xfId="6236" xr:uid="{00000000-0005-0000-0000-000062160000}"/>
    <cellStyle name="Normal 4 3 3 8 2 2" xfId="6237" xr:uid="{00000000-0005-0000-0000-000063160000}"/>
    <cellStyle name="Normal 4 3 3 8 2 2 2" xfId="6238" xr:uid="{00000000-0005-0000-0000-000064160000}"/>
    <cellStyle name="Normal 4 3 3 8 2 2 3" xfId="6239" xr:uid="{00000000-0005-0000-0000-000065160000}"/>
    <cellStyle name="Normal 4 3 3 8 2 3" xfId="6240" xr:uid="{00000000-0005-0000-0000-000066160000}"/>
    <cellStyle name="Normal 4 3 3 8 2 4" xfId="6241" xr:uid="{00000000-0005-0000-0000-000067160000}"/>
    <cellStyle name="Normal 4 3 3 8 2 5" xfId="6242" xr:uid="{00000000-0005-0000-0000-000068160000}"/>
    <cellStyle name="Normal 4 3 3 8 3" xfId="6243" xr:uid="{00000000-0005-0000-0000-000069160000}"/>
    <cellStyle name="Normal 4 3 3 8 3 2" xfId="6244" xr:uid="{00000000-0005-0000-0000-00006A160000}"/>
    <cellStyle name="Normal 4 3 3 8 3 2 2" xfId="6245" xr:uid="{00000000-0005-0000-0000-00006B160000}"/>
    <cellStyle name="Normal 4 3 3 8 3 2 3" xfId="6246" xr:uid="{00000000-0005-0000-0000-00006C160000}"/>
    <cellStyle name="Normal 4 3 3 8 3 3" xfId="6247" xr:uid="{00000000-0005-0000-0000-00006D160000}"/>
    <cellStyle name="Normal 4 3 3 8 3 4" xfId="6248" xr:uid="{00000000-0005-0000-0000-00006E160000}"/>
    <cellStyle name="Normal 4 3 3 8 3 5" xfId="6249" xr:uid="{00000000-0005-0000-0000-00006F160000}"/>
    <cellStyle name="Normal 4 3 3 8 4" xfId="6250" xr:uid="{00000000-0005-0000-0000-000070160000}"/>
    <cellStyle name="Normal 4 3 3 8 4 2" xfId="6251" xr:uid="{00000000-0005-0000-0000-000071160000}"/>
    <cellStyle name="Normal 4 3 3 8 4 3" xfId="6252" xr:uid="{00000000-0005-0000-0000-000072160000}"/>
    <cellStyle name="Normal 4 3 3 8 5" xfId="6253" xr:uid="{00000000-0005-0000-0000-000073160000}"/>
    <cellStyle name="Normal 4 3 3 8 6" xfId="6254" xr:uid="{00000000-0005-0000-0000-000074160000}"/>
    <cellStyle name="Normal 4 3 3 8 7" xfId="6255" xr:uid="{00000000-0005-0000-0000-000075160000}"/>
    <cellStyle name="Normal 4 3 3 9" xfId="6256" xr:uid="{00000000-0005-0000-0000-000076160000}"/>
    <cellStyle name="Normal 4 3 3 9 2" xfId="6257" xr:uid="{00000000-0005-0000-0000-000077160000}"/>
    <cellStyle name="Normal 4 3 3 9 2 2" xfId="6258" xr:uid="{00000000-0005-0000-0000-000078160000}"/>
    <cellStyle name="Normal 4 3 3 9 2 3" xfId="6259" xr:uid="{00000000-0005-0000-0000-000079160000}"/>
    <cellStyle name="Normal 4 3 3 9 3" xfId="6260" xr:uid="{00000000-0005-0000-0000-00007A160000}"/>
    <cellStyle name="Normal 4 3 3 9 4" xfId="6261" xr:uid="{00000000-0005-0000-0000-00007B160000}"/>
    <cellStyle name="Normal 4 3 3 9 5" xfId="6262" xr:uid="{00000000-0005-0000-0000-00007C160000}"/>
    <cellStyle name="Normal 4 3 4" xfId="6263" xr:uid="{00000000-0005-0000-0000-00007D160000}"/>
    <cellStyle name="Normal 4 3 4 10" xfId="6264" xr:uid="{00000000-0005-0000-0000-00007E160000}"/>
    <cellStyle name="Normal 4 3 4 11" xfId="6265" xr:uid="{00000000-0005-0000-0000-00007F160000}"/>
    <cellStyle name="Normal 4 3 4 12" xfId="6266" xr:uid="{00000000-0005-0000-0000-000080160000}"/>
    <cellStyle name="Normal 4 3 4 2" xfId="6267" xr:uid="{00000000-0005-0000-0000-000081160000}"/>
    <cellStyle name="Normal 4 3 4 2 2" xfId="6268" xr:uid="{00000000-0005-0000-0000-000082160000}"/>
    <cellStyle name="Normal 4 3 4 2 2 2" xfId="6269" xr:uid="{00000000-0005-0000-0000-000083160000}"/>
    <cellStyle name="Normal 4 3 4 2 2 2 2" xfId="6270" xr:uid="{00000000-0005-0000-0000-000084160000}"/>
    <cellStyle name="Normal 4 3 4 2 2 2 2 2" xfId="6271" xr:uid="{00000000-0005-0000-0000-000085160000}"/>
    <cellStyle name="Normal 4 3 4 2 2 2 2 2 2" xfId="6272" xr:uid="{00000000-0005-0000-0000-000086160000}"/>
    <cellStyle name="Normal 4 3 4 2 2 2 2 2 3" xfId="6273" xr:uid="{00000000-0005-0000-0000-000087160000}"/>
    <cellStyle name="Normal 4 3 4 2 2 2 2 3" xfId="6274" xr:uid="{00000000-0005-0000-0000-000088160000}"/>
    <cellStyle name="Normal 4 3 4 2 2 2 2 4" xfId="6275" xr:uid="{00000000-0005-0000-0000-000089160000}"/>
    <cellStyle name="Normal 4 3 4 2 2 2 2 5" xfId="6276" xr:uid="{00000000-0005-0000-0000-00008A160000}"/>
    <cellStyle name="Normal 4 3 4 2 2 2 3" xfId="6277" xr:uid="{00000000-0005-0000-0000-00008B160000}"/>
    <cellStyle name="Normal 4 3 4 2 2 2 3 2" xfId="6278" xr:uid="{00000000-0005-0000-0000-00008C160000}"/>
    <cellStyle name="Normal 4 3 4 2 2 2 3 2 2" xfId="6279" xr:uid="{00000000-0005-0000-0000-00008D160000}"/>
    <cellStyle name="Normal 4 3 4 2 2 2 3 2 3" xfId="6280" xr:uid="{00000000-0005-0000-0000-00008E160000}"/>
    <cellStyle name="Normal 4 3 4 2 2 2 3 3" xfId="6281" xr:uid="{00000000-0005-0000-0000-00008F160000}"/>
    <cellStyle name="Normal 4 3 4 2 2 2 3 4" xfId="6282" xr:uid="{00000000-0005-0000-0000-000090160000}"/>
    <cellStyle name="Normal 4 3 4 2 2 2 3 5" xfId="6283" xr:uid="{00000000-0005-0000-0000-000091160000}"/>
    <cellStyle name="Normal 4 3 4 2 2 2 4" xfId="6284" xr:uid="{00000000-0005-0000-0000-000092160000}"/>
    <cellStyle name="Normal 4 3 4 2 2 2 4 2" xfId="6285" xr:uid="{00000000-0005-0000-0000-000093160000}"/>
    <cellStyle name="Normal 4 3 4 2 2 2 4 3" xfId="6286" xr:uid="{00000000-0005-0000-0000-000094160000}"/>
    <cellStyle name="Normal 4 3 4 2 2 2 5" xfId="6287" xr:uid="{00000000-0005-0000-0000-000095160000}"/>
    <cellStyle name="Normal 4 3 4 2 2 2 6" xfId="6288" xr:uid="{00000000-0005-0000-0000-000096160000}"/>
    <cellStyle name="Normal 4 3 4 2 2 2 7" xfId="6289" xr:uid="{00000000-0005-0000-0000-000097160000}"/>
    <cellStyle name="Normal 4 3 4 2 2 3" xfId="6290" xr:uid="{00000000-0005-0000-0000-000098160000}"/>
    <cellStyle name="Normal 4 3 4 2 2 3 2" xfId="6291" xr:uid="{00000000-0005-0000-0000-000099160000}"/>
    <cellStyle name="Normal 4 3 4 2 2 3 2 2" xfId="6292" xr:uid="{00000000-0005-0000-0000-00009A160000}"/>
    <cellStyle name="Normal 4 3 4 2 2 3 2 3" xfId="6293" xr:uid="{00000000-0005-0000-0000-00009B160000}"/>
    <cellStyle name="Normal 4 3 4 2 2 3 3" xfId="6294" xr:uid="{00000000-0005-0000-0000-00009C160000}"/>
    <cellStyle name="Normal 4 3 4 2 2 3 4" xfId="6295" xr:uid="{00000000-0005-0000-0000-00009D160000}"/>
    <cellStyle name="Normal 4 3 4 2 2 3 5" xfId="6296" xr:uid="{00000000-0005-0000-0000-00009E160000}"/>
    <cellStyle name="Normal 4 3 4 2 2 4" xfId="6297" xr:uid="{00000000-0005-0000-0000-00009F160000}"/>
    <cellStyle name="Normal 4 3 4 2 2 4 2" xfId="6298" xr:uid="{00000000-0005-0000-0000-0000A0160000}"/>
    <cellStyle name="Normal 4 3 4 2 2 4 2 2" xfId="6299" xr:uid="{00000000-0005-0000-0000-0000A1160000}"/>
    <cellStyle name="Normal 4 3 4 2 2 4 2 3" xfId="6300" xr:uid="{00000000-0005-0000-0000-0000A2160000}"/>
    <cellStyle name="Normal 4 3 4 2 2 4 3" xfId="6301" xr:uid="{00000000-0005-0000-0000-0000A3160000}"/>
    <cellStyle name="Normal 4 3 4 2 2 4 4" xfId="6302" xr:uid="{00000000-0005-0000-0000-0000A4160000}"/>
    <cellStyle name="Normal 4 3 4 2 2 4 5" xfId="6303" xr:uid="{00000000-0005-0000-0000-0000A5160000}"/>
    <cellStyle name="Normal 4 3 4 2 2 5" xfId="6304" xr:uid="{00000000-0005-0000-0000-0000A6160000}"/>
    <cellStyle name="Normal 4 3 4 2 2 5 2" xfId="6305" xr:uid="{00000000-0005-0000-0000-0000A7160000}"/>
    <cellStyle name="Normal 4 3 4 2 2 5 3" xfId="6306" xr:uid="{00000000-0005-0000-0000-0000A8160000}"/>
    <cellStyle name="Normal 4 3 4 2 2 6" xfId="6307" xr:uid="{00000000-0005-0000-0000-0000A9160000}"/>
    <cellStyle name="Normal 4 3 4 2 2 7" xfId="6308" xr:uid="{00000000-0005-0000-0000-0000AA160000}"/>
    <cellStyle name="Normal 4 3 4 2 2 8" xfId="6309" xr:uid="{00000000-0005-0000-0000-0000AB160000}"/>
    <cellStyle name="Normal 4 3 4 2 3" xfId="6310" xr:uid="{00000000-0005-0000-0000-0000AC160000}"/>
    <cellStyle name="Normal 4 3 4 2 3 2" xfId="6311" xr:uid="{00000000-0005-0000-0000-0000AD160000}"/>
    <cellStyle name="Normal 4 3 4 2 3 2 2" xfId="6312" xr:uid="{00000000-0005-0000-0000-0000AE160000}"/>
    <cellStyle name="Normal 4 3 4 2 3 2 2 2" xfId="6313" xr:uid="{00000000-0005-0000-0000-0000AF160000}"/>
    <cellStyle name="Normal 4 3 4 2 3 2 2 3" xfId="6314" xr:uid="{00000000-0005-0000-0000-0000B0160000}"/>
    <cellStyle name="Normal 4 3 4 2 3 2 3" xfId="6315" xr:uid="{00000000-0005-0000-0000-0000B1160000}"/>
    <cellStyle name="Normal 4 3 4 2 3 2 4" xfId="6316" xr:uid="{00000000-0005-0000-0000-0000B2160000}"/>
    <cellStyle name="Normal 4 3 4 2 3 2 5" xfId="6317" xr:uid="{00000000-0005-0000-0000-0000B3160000}"/>
    <cellStyle name="Normal 4 3 4 2 3 3" xfId="6318" xr:uid="{00000000-0005-0000-0000-0000B4160000}"/>
    <cellStyle name="Normal 4 3 4 2 3 3 2" xfId="6319" xr:uid="{00000000-0005-0000-0000-0000B5160000}"/>
    <cellStyle name="Normal 4 3 4 2 3 3 2 2" xfId="6320" xr:uid="{00000000-0005-0000-0000-0000B6160000}"/>
    <cellStyle name="Normal 4 3 4 2 3 3 2 3" xfId="6321" xr:uid="{00000000-0005-0000-0000-0000B7160000}"/>
    <cellStyle name="Normal 4 3 4 2 3 3 3" xfId="6322" xr:uid="{00000000-0005-0000-0000-0000B8160000}"/>
    <cellStyle name="Normal 4 3 4 2 3 3 4" xfId="6323" xr:uid="{00000000-0005-0000-0000-0000B9160000}"/>
    <cellStyle name="Normal 4 3 4 2 3 3 5" xfId="6324" xr:uid="{00000000-0005-0000-0000-0000BA160000}"/>
    <cellStyle name="Normal 4 3 4 2 3 4" xfId="6325" xr:uid="{00000000-0005-0000-0000-0000BB160000}"/>
    <cellStyle name="Normal 4 3 4 2 3 4 2" xfId="6326" xr:uid="{00000000-0005-0000-0000-0000BC160000}"/>
    <cellStyle name="Normal 4 3 4 2 3 4 3" xfId="6327" xr:uid="{00000000-0005-0000-0000-0000BD160000}"/>
    <cellStyle name="Normal 4 3 4 2 3 5" xfId="6328" xr:uid="{00000000-0005-0000-0000-0000BE160000}"/>
    <cellStyle name="Normal 4 3 4 2 3 6" xfId="6329" xr:uid="{00000000-0005-0000-0000-0000BF160000}"/>
    <cellStyle name="Normal 4 3 4 2 3 7" xfId="6330" xr:uid="{00000000-0005-0000-0000-0000C0160000}"/>
    <cellStyle name="Normal 4 3 4 2 4" xfId="6331" xr:uid="{00000000-0005-0000-0000-0000C1160000}"/>
    <cellStyle name="Normal 4 3 4 2 4 2" xfId="6332" xr:uid="{00000000-0005-0000-0000-0000C2160000}"/>
    <cellStyle name="Normal 4 3 4 2 4 2 2" xfId="6333" xr:uid="{00000000-0005-0000-0000-0000C3160000}"/>
    <cellStyle name="Normal 4 3 4 2 4 2 3" xfId="6334" xr:uid="{00000000-0005-0000-0000-0000C4160000}"/>
    <cellStyle name="Normal 4 3 4 2 4 3" xfId="6335" xr:uid="{00000000-0005-0000-0000-0000C5160000}"/>
    <cellStyle name="Normal 4 3 4 2 4 4" xfId="6336" xr:uid="{00000000-0005-0000-0000-0000C6160000}"/>
    <cellStyle name="Normal 4 3 4 2 4 5" xfId="6337" xr:uid="{00000000-0005-0000-0000-0000C7160000}"/>
    <cellStyle name="Normal 4 3 4 2 5" xfId="6338" xr:uid="{00000000-0005-0000-0000-0000C8160000}"/>
    <cellStyle name="Normal 4 3 4 2 5 2" xfId="6339" xr:uid="{00000000-0005-0000-0000-0000C9160000}"/>
    <cellStyle name="Normal 4 3 4 2 5 2 2" xfId="6340" xr:uid="{00000000-0005-0000-0000-0000CA160000}"/>
    <cellStyle name="Normal 4 3 4 2 5 2 3" xfId="6341" xr:uid="{00000000-0005-0000-0000-0000CB160000}"/>
    <cellStyle name="Normal 4 3 4 2 5 3" xfId="6342" xr:uid="{00000000-0005-0000-0000-0000CC160000}"/>
    <cellStyle name="Normal 4 3 4 2 5 4" xfId="6343" xr:uid="{00000000-0005-0000-0000-0000CD160000}"/>
    <cellStyle name="Normal 4 3 4 2 5 5" xfId="6344" xr:uid="{00000000-0005-0000-0000-0000CE160000}"/>
    <cellStyle name="Normal 4 3 4 2 6" xfId="6345" xr:uid="{00000000-0005-0000-0000-0000CF160000}"/>
    <cellStyle name="Normal 4 3 4 2 6 2" xfId="6346" xr:uid="{00000000-0005-0000-0000-0000D0160000}"/>
    <cellStyle name="Normal 4 3 4 2 6 3" xfId="6347" xr:uid="{00000000-0005-0000-0000-0000D1160000}"/>
    <cellStyle name="Normal 4 3 4 2 7" xfId="6348" xr:uid="{00000000-0005-0000-0000-0000D2160000}"/>
    <cellStyle name="Normal 4 3 4 2 8" xfId="6349" xr:uid="{00000000-0005-0000-0000-0000D3160000}"/>
    <cellStyle name="Normal 4 3 4 2 9" xfId="6350" xr:uid="{00000000-0005-0000-0000-0000D4160000}"/>
    <cellStyle name="Normal 4 3 4 3" xfId="6351" xr:uid="{00000000-0005-0000-0000-0000D5160000}"/>
    <cellStyle name="Normal 4 3 4 3 2" xfId="6352" xr:uid="{00000000-0005-0000-0000-0000D6160000}"/>
    <cellStyle name="Normal 4 3 4 3 2 2" xfId="6353" xr:uid="{00000000-0005-0000-0000-0000D7160000}"/>
    <cellStyle name="Normal 4 3 4 3 2 2 2" xfId="6354" xr:uid="{00000000-0005-0000-0000-0000D8160000}"/>
    <cellStyle name="Normal 4 3 4 3 2 2 2 2" xfId="6355" xr:uid="{00000000-0005-0000-0000-0000D9160000}"/>
    <cellStyle name="Normal 4 3 4 3 2 2 2 2 2" xfId="6356" xr:uid="{00000000-0005-0000-0000-0000DA160000}"/>
    <cellStyle name="Normal 4 3 4 3 2 2 2 2 3" xfId="6357" xr:uid="{00000000-0005-0000-0000-0000DB160000}"/>
    <cellStyle name="Normal 4 3 4 3 2 2 2 3" xfId="6358" xr:uid="{00000000-0005-0000-0000-0000DC160000}"/>
    <cellStyle name="Normal 4 3 4 3 2 2 2 4" xfId="6359" xr:uid="{00000000-0005-0000-0000-0000DD160000}"/>
    <cellStyle name="Normal 4 3 4 3 2 2 2 5" xfId="6360" xr:uid="{00000000-0005-0000-0000-0000DE160000}"/>
    <cellStyle name="Normal 4 3 4 3 2 2 3" xfId="6361" xr:uid="{00000000-0005-0000-0000-0000DF160000}"/>
    <cellStyle name="Normal 4 3 4 3 2 2 3 2" xfId="6362" xr:uid="{00000000-0005-0000-0000-0000E0160000}"/>
    <cellStyle name="Normal 4 3 4 3 2 2 3 2 2" xfId="6363" xr:uid="{00000000-0005-0000-0000-0000E1160000}"/>
    <cellStyle name="Normal 4 3 4 3 2 2 3 2 3" xfId="6364" xr:uid="{00000000-0005-0000-0000-0000E2160000}"/>
    <cellStyle name="Normal 4 3 4 3 2 2 3 3" xfId="6365" xr:uid="{00000000-0005-0000-0000-0000E3160000}"/>
    <cellStyle name="Normal 4 3 4 3 2 2 3 4" xfId="6366" xr:uid="{00000000-0005-0000-0000-0000E4160000}"/>
    <cellStyle name="Normal 4 3 4 3 2 2 3 5" xfId="6367" xr:uid="{00000000-0005-0000-0000-0000E5160000}"/>
    <cellStyle name="Normal 4 3 4 3 2 2 4" xfId="6368" xr:uid="{00000000-0005-0000-0000-0000E6160000}"/>
    <cellStyle name="Normal 4 3 4 3 2 2 4 2" xfId="6369" xr:uid="{00000000-0005-0000-0000-0000E7160000}"/>
    <cellStyle name="Normal 4 3 4 3 2 2 4 3" xfId="6370" xr:uid="{00000000-0005-0000-0000-0000E8160000}"/>
    <cellStyle name="Normal 4 3 4 3 2 2 5" xfId="6371" xr:uid="{00000000-0005-0000-0000-0000E9160000}"/>
    <cellStyle name="Normal 4 3 4 3 2 2 6" xfId="6372" xr:uid="{00000000-0005-0000-0000-0000EA160000}"/>
    <cellStyle name="Normal 4 3 4 3 2 2 7" xfId="6373" xr:uid="{00000000-0005-0000-0000-0000EB160000}"/>
    <cellStyle name="Normal 4 3 4 3 2 3" xfId="6374" xr:uid="{00000000-0005-0000-0000-0000EC160000}"/>
    <cellStyle name="Normal 4 3 4 3 2 3 2" xfId="6375" xr:uid="{00000000-0005-0000-0000-0000ED160000}"/>
    <cellStyle name="Normal 4 3 4 3 2 3 2 2" xfId="6376" xr:uid="{00000000-0005-0000-0000-0000EE160000}"/>
    <cellStyle name="Normal 4 3 4 3 2 3 2 3" xfId="6377" xr:uid="{00000000-0005-0000-0000-0000EF160000}"/>
    <cellStyle name="Normal 4 3 4 3 2 3 3" xfId="6378" xr:uid="{00000000-0005-0000-0000-0000F0160000}"/>
    <cellStyle name="Normal 4 3 4 3 2 3 4" xfId="6379" xr:uid="{00000000-0005-0000-0000-0000F1160000}"/>
    <cellStyle name="Normal 4 3 4 3 2 3 5" xfId="6380" xr:uid="{00000000-0005-0000-0000-0000F2160000}"/>
    <cellStyle name="Normal 4 3 4 3 2 4" xfId="6381" xr:uid="{00000000-0005-0000-0000-0000F3160000}"/>
    <cellStyle name="Normal 4 3 4 3 2 4 2" xfId="6382" xr:uid="{00000000-0005-0000-0000-0000F4160000}"/>
    <cellStyle name="Normal 4 3 4 3 2 4 2 2" xfId="6383" xr:uid="{00000000-0005-0000-0000-0000F5160000}"/>
    <cellStyle name="Normal 4 3 4 3 2 4 2 3" xfId="6384" xr:uid="{00000000-0005-0000-0000-0000F6160000}"/>
    <cellStyle name="Normal 4 3 4 3 2 4 3" xfId="6385" xr:uid="{00000000-0005-0000-0000-0000F7160000}"/>
    <cellStyle name="Normal 4 3 4 3 2 4 4" xfId="6386" xr:uid="{00000000-0005-0000-0000-0000F8160000}"/>
    <cellStyle name="Normal 4 3 4 3 2 4 5" xfId="6387" xr:uid="{00000000-0005-0000-0000-0000F9160000}"/>
    <cellStyle name="Normal 4 3 4 3 2 5" xfId="6388" xr:uid="{00000000-0005-0000-0000-0000FA160000}"/>
    <cellStyle name="Normal 4 3 4 3 2 5 2" xfId="6389" xr:uid="{00000000-0005-0000-0000-0000FB160000}"/>
    <cellStyle name="Normal 4 3 4 3 2 5 3" xfId="6390" xr:uid="{00000000-0005-0000-0000-0000FC160000}"/>
    <cellStyle name="Normal 4 3 4 3 2 6" xfId="6391" xr:uid="{00000000-0005-0000-0000-0000FD160000}"/>
    <cellStyle name="Normal 4 3 4 3 2 7" xfId="6392" xr:uid="{00000000-0005-0000-0000-0000FE160000}"/>
    <cellStyle name="Normal 4 3 4 3 2 8" xfId="6393" xr:uid="{00000000-0005-0000-0000-0000FF160000}"/>
    <cellStyle name="Normal 4 3 4 3 3" xfId="6394" xr:uid="{00000000-0005-0000-0000-000000170000}"/>
    <cellStyle name="Normal 4 3 4 3 3 2" xfId="6395" xr:uid="{00000000-0005-0000-0000-000001170000}"/>
    <cellStyle name="Normal 4 3 4 3 3 2 2" xfId="6396" xr:uid="{00000000-0005-0000-0000-000002170000}"/>
    <cellStyle name="Normal 4 3 4 3 3 2 2 2" xfId="6397" xr:uid="{00000000-0005-0000-0000-000003170000}"/>
    <cellStyle name="Normal 4 3 4 3 3 2 2 3" xfId="6398" xr:uid="{00000000-0005-0000-0000-000004170000}"/>
    <cellStyle name="Normal 4 3 4 3 3 2 3" xfId="6399" xr:uid="{00000000-0005-0000-0000-000005170000}"/>
    <cellStyle name="Normal 4 3 4 3 3 2 4" xfId="6400" xr:uid="{00000000-0005-0000-0000-000006170000}"/>
    <cellStyle name="Normal 4 3 4 3 3 2 5" xfId="6401" xr:uid="{00000000-0005-0000-0000-000007170000}"/>
    <cellStyle name="Normal 4 3 4 3 3 3" xfId="6402" xr:uid="{00000000-0005-0000-0000-000008170000}"/>
    <cellStyle name="Normal 4 3 4 3 3 3 2" xfId="6403" xr:uid="{00000000-0005-0000-0000-000009170000}"/>
    <cellStyle name="Normal 4 3 4 3 3 3 2 2" xfId="6404" xr:uid="{00000000-0005-0000-0000-00000A170000}"/>
    <cellStyle name="Normal 4 3 4 3 3 3 2 3" xfId="6405" xr:uid="{00000000-0005-0000-0000-00000B170000}"/>
    <cellStyle name="Normal 4 3 4 3 3 3 3" xfId="6406" xr:uid="{00000000-0005-0000-0000-00000C170000}"/>
    <cellStyle name="Normal 4 3 4 3 3 3 4" xfId="6407" xr:uid="{00000000-0005-0000-0000-00000D170000}"/>
    <cellStyle name="Normal 4 3 4 3 3 3 5" xfId="6408" xr:uid="{00000000-0005-0000-0000-00000E170000}"/>
    <cellStyle name="Normal 4 3 4 3 3 4" xfId="6409" xr:uid="{00000000-0005-0000-0000-00000F170000}"/>
    <cellStyle name="Normal 4 3 4 3 3 4 2" xfId="6410" xr:uid="{00000000-0005-0000-0000-000010170000}"/>
    <cellStyle name="Normal 4 3 4 3 3 4 3" xfId="6411" xr:uid="{00000000-0005-0000-0000-000011170000}"/>
    <cellStyle name="Normal 4 3 4 3 3 5" xfId="6412" xr:uid="{00000000-0005-0000-0000-000012170000}"/>
    <cellStyle name="Normal 4 3 4 3 3 6" xfId="6413" xr:uid="{00000000-0005-0000-0000-000013170000}"/>
    <cellStyle name="Normal 4 3 4 3 3 7" xfId="6414" xr:uid="{00000000-0005-0000-0000-000014170000}"/>
    <cellStyle name="Normal 4 3 4 3 4" xfId="6415" xr:uid="{00000000-0005-0000-0000-000015170000}"/>
    <cellStyle name="Normal 4 3 4 3 4 2" xfId="6416" xr:uid="{00000000-0005-0000-0000-000016170000}"/>
    <cellStyle name="Normal 4 3 4 3 4 2 2" xfId="6417" xr:uid="{00000000-0005-0000-0000-000017170000}"/>
    <cellStyle name="Normal 4 3 4 3 4 2 3" xfId="6418" xr:uid="{00000000-0005-0000-0000-000018170000}"/>
    <cellStyle name="Normal 4 3 4 3 4 3" xfId="6419" xr:uid="{00000000-0005-0000-0000-000019170000}"/>
    <cellStyle name="Normal 4 3 4 3 4 4" xfId="6420" xr:uid="{00000000-0005-0000-0000-00001A170000}"/>
    <cellStyle name="Normal 4 3 4 3 4 5" xfId="6421" xr:uid="{00000000-0005-0000-0000-00001B170000}"/>
    <cellStyle name="Normal 4 3 4 3 5" xfId="6422" xr:uid="{00000000-0005-0000-0000-00001C170000}"/>
    <cellStyle name="Normal 4 3 4 3 5 2" xfId="6423" xr:uid="{00000000-0005-0000-0000-00001D170000}"/>
    <cellStyle name="Normal 4 3 4 3 5 2 2" xfId="6424" xr:uid="{00000000-0005-0000-0000-00001E170000}"/>
    <cellStyle name="Normal 4 3 4 3 5 2 3" xfId="6425" xr:uid="{00000000-0005-0000-0000-00001F170000}"/>
    <cellStyle name="Normal 4 3 4 3 5 3" xfId="6426" xr:uid="{00000000-0005-0000-0000-000020170000}"/>
    <cellStyle name="Normal 4 3 4 3 5 4" xfId="6427" xr:uid="{00000000-0005-0000-0000-000021170000}"/>
    <cellStyle name="Normal 4 3 4 3 5 5" xfId="6428" xr:uid="{00000000-0005-0000-0000-000022170000}"/>
    <cellStyle name="Normal 4 3 4 3 6" xfId="6429" xr:uid="{00000000-0005-0000-0000-000023170000}"/>
    <cellStyle name="Normal 4 3 4 3 6 2" xfId="6430" xr:uid="{00000000-0005-0000-0000-000024170000}"/>
    <cellStyle name="Normal 4 3 4 3 6 3" xfId="6431" xr:uid="{00000000-0005-0000-0000-000025170000}"/>
    <cellStyle name="Normal 4 3 4 3 7" xfId="6432" xr:uid="{00000000-0005-0000-0000-000026170000}"/>
    <cellStyle name="Normal 4 3 4 3 8" xfId="6433" xr:uid="{00000000-0005-0000-0000-000027170000}"/>
    <cellStyle name="Normal 4 3 4 3 9" xfId="6434" xr:uid="{00000000-0005-0000-0000-000028170000}"/>
    <cellStyle name="Normal 4 3 4 4" xfId="6435" xr:uid="{00000000-0005-0000-0000-000029170000}"/>
    <cellStyle name="Normal 4 3 4 4 2" xfId="6436" xr:uid="{00000000-0005-0000-0000-00002A170000}"/>
    <cellStyle name="Normal 4 3 4 4 2 2" xfId="6437" xr:uid="{00000000-0005-0000-0000-00002B170000}"/>
    <cellStyle name="Normal 4 3 4 4 2 2 2" xfId="6438" xr:uid="{00000000-0005-0000-0000-00002C170000}"/>
    <cellStyle name="Normal 4 3 4 4 2 2 2 2" xfId="6439" xr:uid="{00000000-0005-0000-0000-00002D170000}"/>
    <cellStyle name="Normal 4 3 4 4 2 2 2 2 2" xfId="6440" xr:uid="{00000000-0005-0000-0000-00002E170000}"/>
    <cellStyle name="Normal 4 3 4 4 2 2 2 2 3" xfId="6441" xr:uid="{00000000-0005-0000-0000-00002F170000}"/>
    <cellStyle name="Normal 4 3 4 4 2 2 2 3" xfId="6442" xr:uid="{00000000-0005-0000-0000-000030170000}"/>
    <cellStyle name="Normal 4 3 4 4 2 2 2 4" xfId="6443" xr:uid="{00000000-0005-0000-0000-000031170000}"/>
    <cellStyle name="Normal 4 3 4 4 2 2 2 5" xfId="6444" xr:uid="{00000000-0005-0000-0000-000032170000}"/>
    <cellStyle name="Normal 4 3 4 4 2 2 3" xfId="6445" xr:uid="{00000000-0005-0000-0000-000033170000}"/>
    <cellStyle name="Normal 4 3 4 4 2 2 3 2" xfId="6446" xr:uid="{00000000-0005-0000-0000-000034170000}"/>
    <cellStyle name="Normal 4 3 4 4 2 2 3 2 2" xfId="6447" xr:uid="{00000000-0005-0000-0000-000035170000}"/>
    <cellStyle name="Normal 4 3 4 4 2 2 3 2 3" xfId="6448" xr:uid="{00000000-0005-0000-0000-000036170000}"/>
    <cellStyle name="Normal 4 3 4 4 2 2 3 3" xfId="6449" xr:uid="{00000000-0005-0000-0000-000037170000}"/>
    <cellStyle name="Normal 4 3 4 4 2 2 3 4" xfId="6450" xr:uid="{00000000-0005-0000-0000-000038170000}"/>
    <cellStyle name="Normal 4 3 4 4 2 2 3 5" xfId="6451" xr:uid="{00000000-0005-0000-0000-000039170000}"/>
    <cellStyle name="Normal 4 3 4 4 2 2 4" xfId="6452" xr:uid="{00000000-0005-0000-0000-00003A170000}"/>
    <cellStyle name="Normal 4 3 4 4 2 2 4 2" xfId="6453" xr:uid="{00000000-0005-0000-0000-00003B170000}"/>
    <cellStyle name="Normal 4 3 4 4 2 2 4 3" xfId="6454" xr:uid="{00000000-0005-0000-0000-00003C170000}"/>
    <cellStyle name="Normal 4 3 4 4 2 2 5" xfId="6455" xr:uid="{00000000-0005-0000-0000-00003D170000}"/>
    <cellStyle name="Normal 4 3 4 4 2 2 6" xfId="6456" xr:uid="{00000000-0005-0000-0000-00003E170000}"/>
    <cellStyle name="Normal 4 3 4 4 2 2 7" xfId="6457" xr:uid="{00000000-0005-0000-0000-00003F170000}"/>
    <cellStyle name="Normal 4 3 4 4 2 3" xfId="6458" xr:uid="{00000000-0005-0000-0000-000040170000}"/>
    <cellStyle name="Normal 4 3 4 4 2 3 2" xfId="6459" xr:uid="{00000000-0005-0000-0000-000041170000}"/>
    <cellStyle name="Normal 4 3 4 4 2 3 2 2" xfId="6460" xr:uid="{00000000-0005-0000-0000-000042170000}"/>
    <cellStyle name="Normal 4 3 4 4 2 3 2 3" xfId="6461" xr:uid="{00000000-0005-0000-0000-000043170000}"/>
    <cellStyle name="Normal 4 3 4 4 2 3 3" xfId="6462" xr:uid="{00000000-0005-0000-0000-000044170000}"/>
    <cellStyle name="Normal 4 3 4 4 2 3 4" xfId="6463" xr:uid="{00000000-0005-0000-0000-000045170000}"/>
    <cellStyle name="Normal 4 3 4 4 2 3 5" xfId="6464" xr:uid="{00000000-0005-0000-0000-000046170000}"/>
    <cellStyle name="Normal 4 3 4 4 2 4" xfId="6465" xr:uid="{00000000-0005-0000-0000-000047170000}"/>
    <cellStyle name="Normal 4 3 4 4 2 4 2" xfId="6466" xr:uid="{00000000-0005-0000-0000-000048170000}"/>
    <cellStyle name="Normal 4 3 4 4 2 4 2 2" xfId="6467" xr:uid="{00000000-0005-0000-0000-000049170000}"/>
    <cellStyle name="Normal 4 3 4 4 2 4 2 3" xfId="6468" xr:uid="{00000000-0005-0000-0000-00004A170000}"/>
    <cellStyle name="Normal 4 3 4 4 2 4 3" xfId="6469" xr:uid="{00000000-0005-0000-0000-00004B170000}"/>
    <cellStyle name="Normal 4 3 4 4 2 4 4" xfId="6470" xr:uid="{00000000-0005-0000-0000-00004C170000}"/>
    <cellStyle name="Normal 4 3 4 4 2 4 5" xfId="6471" xr:uid="{00000000-0005-0000-0000-00004D170000}"/>
    <cellStyle name="Normal 4 3 4 4 2 5" xfId="6472" xr:uid="{00000000-0005-0000-0000-00004E170000}"/>
    <cellStyle name="Normal 4 3 4 4 2 5 2" xfId="6473" xr:uid="{00000000-0005-0000-0000-00004F170000}"/>
    <cellStyle name="Normal 4 3 4 4 2 5 3" xfId="6474" xr:uid="{00000000-0005-0000-0000-000050170000}"/>
    <cellStyle name="Normal 4 3 4 4 2 6" xfId="6475" xr:uid="{00000000-0005-0000-0000-000051170000}"/>
    <cellStyle name="Normal 4 3 4 4 2 7" xfId="6476" xr:uid="{00000000-0005-0000-0000-000052170000}"/>
    <cellStyle name="Normal 4 3 4 4 2 8" xfId="6477" xr:uid="{00000000-0005-0000-0000-000053170000}"/>
    <cellStyle name="Normal 4 3 4 4 3" xfId="6478" xr:uid="{00000000-0005-0000-0000-000054170000}"/>
    <cellStyle name="Normal 4 3 4 4 3 2" xfId="6479" xr:uid="{00000000-0005-0000-0000-000055170000}"/>
    <cellStyle name="Normal 4 3 4 4 3 2 2" xfId="6480" xr:uid="{00000000-0005-0000-0000-000056170000}"/>
    <cellStyle name="Normal 4 3 4 4 3 2 2 2" xfId="6481" xr:uid="{00000000-0005-0000-0000-000057170000}"/>
    <cellStyle name="Normal 4 3 4 4 3 2 2 3" xfId="6482" xr:uid="{00000000-0005-0000-0000-000058170000}"/>
    <cellStyle name="Normal 4 3 4 4 3 2 3" xfId="6483" xr:uid="{00000000-0005-0000-0000-000059170000}"/>
    <cellStyle name="Normal 4 3 4 4 3 2 4" xfId="6484" xr:uid="{00000000-0005-0000-0000-00005A170000}"/>
    <cellStyle name="Normal 4 3 4 4 3 2 5" xfId="6485" xr:uid="{00000000-0005-0000-0000-00005B170000}"/>
    <cellStyle name="Normal 4 3 4 4 3 3" xfId="6486" xr:uid="{00000000-0005-0000-0000-00005C170000}"/>
    <cellStyle name="Normal 4 3 4 4 3 3 2" xfId="6487" xr:uid="{00000000-0005-0000-0000-00005D170000}"/>
    <cellStyle name="Normal 4 3 4 4 3 3 2 2" xfId="6488" xr:uid="{00000000-0005-0000-0000-00005E170000}"/>
    <cellStyle name="Normal 4 3 4 4 3 3 2 3" xfId="6489" xr:uid="{00000000-0005-0000-0000-00005F170000}"/>
    <cellStyle name="Normal 4 3 4 4 3 3 3" xfId="6490" xr:uid="{00000000-0005-0000-0000-000060170000}"/>
    <cellStyle name="Normal 4 3 4 4 3 3 4" xfId="6491" xr:uid="{00000000-0005-0000-0000-000061170000}"/>
    <cellStyle name="Normal 4 3 4 4 3 3 5" xfId="6492" xr:uid="{00000000-0005-0000-0000-000062170000}"/>
    <cellStyle name="Normal 4 3 4 4 3 4" xfId="6493" xr:uid="{00000000-0005-0000-0000-000063170000}"/>
    <cellStyle name="Normal 4 3 4 4 3 4 2" xfId="6494" xr:uid="{00000000-0005-0000-0000-000064170000}"/>
    <cellStyle name="Normal 4 3 4 4 3 4 3" xfId="6495" xr:uid="{00000000-0005-0000-0000-000065170000}"/>
    <cellStyle name="Normal 4 3 4 4 3 5" xfId="6496" xr:uid="{00000000-0005-0000-0000-000066170000}"/>
    <cellStyle name="Normal 4 3 4 4 3 6" xfId="6497" xr:uid="{00000000-0005-0000-0000-000067170000}"/>
    <cellStyle name="Normal 4 3 4 4 3 7" xfId="6498" xr:uid="{00000000-0005-0000-0000-000068170000}"/>
    <cellStyle name="Normal 4 3 4 4 4" xfId="6499" xr:uid="{00000000-0005-0000-0000-000069170000}"/>
    <cellStyle name="Normal 4 3 4 4 4 2" xfId="6500" xr:uid="{00000000-0005-0000-0000-00006A170000}"/>
    <cellStyle name="Normal 4 3 4 4 4 2 2" xfId="6501" xr:uid="{00000000-0005-0000-0000-00006B170000}"/>
    <cellStyle name="Normal 4 3 4 4 4 2 3" xfId="6502" xr:uid="{00000000-0005-0000-0000-00006C170000}"/>
    <cellStyle name="Normal 4 3 4 4 4 3" xfId="6503" xr:uid="{00000000-0005-0000-0000-00006D170000}"/>
    <cellStyle name="Normal 4 3 4 4 4 4" xfId="6504" xr:uid="{00000000-0005-0000-0000-00006E170000}"/>
    <cellStyle name="Normal 4 3 4 4 4 5" xfId="6505" xr:uid="{00000000-0005-0000-0000-00006F170000}"/>
    <cellStyle name="Normal 4 3 4 4 5" xfId="6506" xr:uid="{00000000-0005-0000-0000-000070170000}"/>
    <cellStyle name="Normal 4 3 4 4 5 2" xfId="6507" xr:uid="{00000000-0005-0000-0000-000071170000}"/>
    <cellStyle name="Normal 4 3 4 4 5 2 2" xfId="6508" xr:uid="{00000000-0005-0000-0000-000072170000}"/>
    <cellStyle name="Normal 4 3 4 4 5 2 3" xfId="6509" xr:uid="{00000000-0005-0000-0000-000073170000}"/>
    <cellStyle name="Normal 4 3 4 4 5 3" xfId="6510" xr:uid="{00000000-0005-0000-0000-000074170000}"/>
    <cellStyle name="Normal 4 3 4 4 5 4" xfId="6511" xr:uid="{00000000-0005-0000-0000-000075170000}"/>
    <cellStyle name="Normal 4 3 4 4 5 5" xfId="6512" xr:uid="{00000000-0005-0000-0000-000076170000}"/>
    <cellStyle name="Normal 4 3 4 4 6" xfId="6513" xr:uid="{00000000-0005-0000-0000-000077170000}"/>
    <cellStyle name="Normal 4 3 4 4 6 2" xfId="6514" xr:uid="{00000000-0005-0000-0000-000078170000}"/>
    <cellStyle name="Normal 4 3 4 4 6 3" xfId="6515" xr:uid="{00000000-0005-0000-0000-000079170000}"/>
    <cellStyle name="Normal 4 3 4 4 7" xfId="6516" xr:uid="{00000000-0005-0000-0000-00007A170000}"/>
    <cellStyle name="Normal 4 3 4 4 8" xfId="6517" xr:uid="{00000000-0005-0000-0000-00007B170000}"/>
    <cellStyle name="Normal 4 3 4 4 9" xfId="6518" xr:uid="{00000000-0005-0000-0000-00007C170000}"/>
    <cellStyle name="Normal 4 3 4 5" xfId="6519" xr:uid="{00000000-0005-0000-0000-00007D170000}"/>
    <cellStyle name="Normal 4 3 4 5 2" xfId="6520" xr:uid="{00000000-0005-0000-0000-00007E170000}"/>
    <cellStyle name="Normal 4 3 4 5 2 2" xfId="6521" xr:uid="{00000000-0005-0000-0000-00007F170000}"/>
    <cellStyle name="Normal 4 3 4 5 2 2 2" xfId="6522" xr:uid="{00000000-0005-0000-0000-000080170000}"/>
    <cellStyle name="Normal 4 3 4 5 2 2 2 2" xfId="6523" xr:uid="{00000000-0005-0000-0000-000081170000}"/>
    <cellStyle name="Normal 4 3 4 5 2 2 2 3" xfId="6524" xr:uid="{00000000-0005-0000-0000-000082170000}"/>
    <cellStyle name="Normal 4 3 4 5 2 2 3" xfId="6525" xr:uid="{00000000-0005-0000-0000-000083170000}"/>
    <cellStyle name="Normal 4 3 4 5 2 2 4" xfId="6526" xr:uid="{00000000-0005-0000-0000-000084170000}"/>
    <cellStyle name="Normal 4 3 4 5 2 2 5" xfId="6527" xr:uid="{00000000-0005-0000-0000-000085170000}"/>
    <cellStyle name="Normal 4 3 4 5 2 3" xfId="6528" xr:uid="{00000000-0005-0000-0000-000086170000}"/>
    <cellStyle name="Normal 4 3 4 5 2 3 2" xfId="6529" xr:uid="{00000000-0005-0000-0000-000087170000}"/>
    <cellStyle name="Normal 4 3 4 5 2 3 2 2" xfId="6530" xr:uid="{00000000-0005-0000-0000-000088170000}"/>
    <cellStyle name="Normal 4 3 4 5 2 3 2 3" xfId="6531" xr:uid="{00000000-0005-0000-0000-000089170000}"/>
    <cellStyle name="Normal 4 3 4 5 2 3 3" xfId="6532" xr:uid="{00000000-0005-0000-0000-00008A170000}"/>
    <cellStyle name="Normal 4 3 4 5 2 3 4" xfId="6533" xr:uid="{00000000-0005-0000-0000-00008B170000}"/>
    <cellStyle name="Normal 4 3 4 5 2 3 5" xfId="6534" xr:uid="{00000000-0005-0000-0000-00008C170000}"/>
    <cellStyle name="Normal 4 3 4 5 2 4" xfId="6535" xr:uid="{00000000-0005-0000-0000-00008D170000}"/>
    <cellStyle name="Normal 4 3 4 5 2 4 2" xfId="6536" xr:uid="{00000000-0005-0000-0000-00008E170000}"/>
    <cellStyle name="Normal 4 3 4 5 2 4 3" xfId="6537" xr:uid="{00000000-0005-0000-0000-00008F170000}"/>
    <cellStyle name="Normal 4 3 4 5 2 5" xfId="6538" xr:uid="{00000000-0005-0000-0000-000090170000}"/>
    <cellStyle name="Normal 4 3 4 5 2 6" xfId="6539" xr:uid="{00000000-0005-0000-0000-000091170000}"/>
    <cellStyle name="Normal 4 3 4 5 2 7" xfId="6540" xr:uid="{00000000-0005-0000-0000-000092170000}"/>
    <cellStyle name="Normal 4 3 4 5 3" xfId="6541" xr:uid="{00000000-0005-0000-0000-000093170000}"/>
    <cellStyle name="Normal 4 3 4 5 3 2" xfId="6542" xr:uid="{00000000-0005-0000-0000-000094170000}"/>
    <cellStyle name="Normal 4 3 4 5 3 2 2" xfId="6543" xr:uid="{00000000-0005-0000-0000-000095170000}"/>
    <cellStyle name="Normal 4 3 4 5 3 2 3" xfId="6544" xr:uid="{00000000-0005-0000-0000-000096170000}"/>
    <cellStyle name="Normal 4 3 4 5 3 3" xfId="6545" xr:uid="{00000000-0005-0000-0000-000097170000}"/>
    <cellStyle name="Normal 4 3 4 5 3 4" xfId="6546" xr:uid="{00000000-0005-0000-0000-000098170000}"/>
    <cellStyle name="Normal 4 3 4 5 3 5" xfId="6547" xr:uid="{00000000-0005-0000-0000-000099170000}"/>
    <cellStyle name="Normal 4 3 4 5 4" xfId="6548" xr:uid="{00000000-0005-0000-0000-00009A170000}"/>
    <cellStyle name="Normal 4 3 4 5 4 2" xfId="6549" xr:uid="{00000000-0005-0000-0000-00009B170000}"/>
    <cellStyle name="Normal 4 3 4 5 4 2 2" xfId="6550" xr:uid="{00000000-0005-0000-0000-00009C170000}"/>
    <cellStyle name="Normal 4 3 4 5 4 2 3" xfId="6551" xr:uid="{00000000-0005-0000-0000-00009D170000}"/>
    <cellStyle name="Normal 4 3 4 5 4 3" xfId="6552" xr:uid="{00000000-0005-0000-0000-00009E170000}"/>
    <cellStyle name="Normal 4 3 4 5 4 4" xfId="6553" xr:uid="{00000000-0005-0000-0000-00009F170000}"/>
    <cellStyle name="Normal 4 3 4 5 4 5" xfId="6554" xr:uid="{00000000-0005-0000-0000-0000A0170000}"/>
    <cellStyle name="Normal 4 3 4 5 5" xfId="6555" xr:uid="{00000000-0005-0000-0000-0000A1170000}"/>
    <cellStyle name="Normal 4 3 4 5 5 2" xfId="6556" xr:uid="{00000000-0005-0000-0000-0000A2170000}"/>
    <cellStyle name="Normal 4 3 4 5 5 3" xfId="6557" xr:uid="{00000000-0005-0000-0000-0000A3170000}"/>
    <cellStyle name="Normal 4 3 4 5 6" xfId="6558" xr:uid="{00000000-0005-0000-0000-0000A4170000}"/>
    <cellStyle name="Normal 4 3 4 5 7" xfId="6559" xr:uid="{00000000-0005-0000-0000-0000A5170000}"/>
    <cellStyle name="Normal 4 3 4 5 8" xfId="6560" xr:uid="{00000000-0005-0000-0000-0000A6170000}"/>
    <cellStyle name="Normal 4 3 4 6" xfId="6561" xr:uid="{00000000-0005-0000-0000-0000A7170000}"/>
    <cellStyle name="Normal 4 3 4 6 2" xfId="6562" xr:uid="{00000000-0005-0000-0000-0000A8170000}"/>
    <cellStyle name="Normal 4 3 4 6 2 2" xfId="6563" xr:uid="{00000000-0005-0000-0000-0000A9170000}"/>
    <cellStyle name="Normal 4 3 4 6 2 2 2" xfId="6564" xr:uid="{00000000-0005-0000-0000-0000AA170000}"/>
    <cellStyle name="Normal 4 3 4 6 2 2 3" xfId="6565" xr:uid="{00000000-0005-0000-0000-0000AB170000}"/>
    <cellStyle name="Normal 4 3 4 6 2 3" xfId="6566" xr:uid="{00000000-0005-0000-0000-0000AC170000}"/>
    <cellStyle name="Normal 4 3 4 6 2 4" xfId="6567" xr:uid="{00000000-0005-0000-0000-0000AD170000}"/>
    <cellStyle name="Normal 4 3 4 6 2 5" xfId="6568" xr:uid="{00000000-0005-0000-0000-0000AE170000}"/>
    <cellStyle name="Normal 4 3 4 6 3" xfId="6569" xr:uid="{00000000-0005-0000-0000-0000AF170000}"/>
    <cellStyle name="Normal 4 3 4 6 3 2" xfId="6570" xr:uid="{00000000-0005-0000-0000-0000B0170000}"/>
    <cellStyle name="Normal 4 3 4 6 3 2 2" xfId="6571" xr:uid="{00000000-0005-0000-0000-0000B1170000}"/>
    <cellStyle name="Normal 4 3 4 6 3 2 3" xfId="6572" xr:uid="{00000000-0005-0000-0000-0000B2170000}"/>
    <cellStyle name="Normal 4 3 4 6 3 3" xfId="6573" xr:uid="{00000000-0005-0000-0000-0000B3170000}"/>
    <cellStyle name="Normal 4 3 4 6 3 4" xfId="6574" xr:uid="{00000000-0005-0000-0000-0000B4170000}"/>
    <cellStyle name="Normal 4 3 4 6 3 5" xfId="6575" xr:uid="{00000000-0005-0000-0000-0000B5170000}"/>
    <cellStyle name="Normal 4 3 4 6 4" xfId="6576" xr:uid="{00000000-0005-0000-0000-0000B6170000}"/>
    <cellStyle name="Normal 4 3 4 6 4 2" xfId="6577" xr:uid="{00000000-0005-0000-0000-0000B7170000}"/>
    <cellStyle name="Normal 4 3 4 6 4 3" xfId="6578" xr:uid="{00000000-0005-0000-0000-0000B8170000}"/>
    <cellStyle name="Normal 4 3 4 6 5" xfId="6579" xr:uid="{00000000-0005-0000-0000-0000B9170000}"/>
    <cellStyle name="Normal 4 3 4 6 6" xfId="6580" xr:uid="{00000000-0005-0000-0000-0000BA170000}"/>
    <cellStyle name="Normal 4 3 4 6 7" xfId="6581" xr:uid="{00000000-0005-0000-0000-0000BB170000}"/>
    <cellStyle name="Normal 4 3 4 7" xfId="6582" xr:uid="{00000000-0005-0000-0000-0000BC170000}"/>
    <cellStyle name="Normal 4 3 4 7 2" xfId="6583" xr:uid="{00000000-0005-0000-0000-0000BD170000}"/>
    <cellStyle name="Normal 4 3 4 7 2 2" xfId="6584" xr:uid="{00000000-0005-0000-0000-0000BE170000}"/>
    <cellStyle name="Normal 4 3 4 7 2 3" xfId="6585" xr:uid="{00000000-0005-0000-0000-0000BF170000}"/>
    <cellStyle name="Normal 4 3 4 7 3" xfId="6586" xr:uid="{00000000-0005-0000-0000-0000C0170000}"/>
    <cellStyle name="Normal 4 3 4 7 4" xfId="6587" xr:uid="{00000000-0005-0000-0000-0000C1170000}"/>
    <cellStyle name="Normal 4 3 4 7 5" xfId="6588" xr:uid="{00000000-0005-0000-0000-0000C2170000}"/>
    <cellStyle name="Normal 4 3 4 8" xfId="6589" xr:uid="{00000000-0005-0000-0000-0000C3170000}"/>
    <cellStyle name="Normal 4 3 4 8 2" xfId="6590" xr:uid="{00000000-0005-0000-0000-0000C4170000}"/>
    <cellStyle name="Normal 4 3 4 8 2 2" xfId="6591" xr:uid="{00000000-0005-0000-0000-0000C5170000}"/>
    <cellStyle name="Normal 4 3 4 8 2 3" xfId="6592" xr:uid="{00000000-0005-0000-0000-0000C6170000}"/>
    <cellStyle name="Normal 4 3 4 8 3" xfId="6593" xr:uid="{00000000-0005-0000-0000-0000C7170000}"/>
    <cellStyle name="Normal 4 3 4 8 4" xfId="6594" xr:uid="{00000000-0005-0000-0000-0000C8170000}"/>
    <cellStyle name="Normal 4 3 4 8 5" xfId="6595" xr:uid="{00000000-0005-0000-0000-0000C9170000}"/>
    <cellStyle name="Normal 4 3 4 9" xfId="6596" xr:uid="{00000000-0005-0000-0000-0000CA170000}"/>
    <cellStyle name="Normal 4 3 4 9 2" xfId="6597" xr:uid="{00000000-0005-0000-0000-0000CB170000}"/>
    <cellStyle name="Normal 4 3 4 9 3" xfId="6598" xr:uid="{00000000-0005-0000-0000-0000CC170000}"/>
    <cellStyle name="Normal 4 3 5" xfId="6599" xr:uid="{00000000-0005-0000-0000-0000CD170000}"/>
    <cellStyle name="Normal 4 3 5 2" xfId="6600" xr:uid="{00000000-0005-0000-0000-0000CE170000}"/>
    <cellStyle name="Normal 4 3 5 2 2" xfId="6601" xr:uid="{00000000-0005-0000-0000-0000CF170000}"/>
    <cellStyle name="Normal 4 3 5 2 2 2" xfId="6602" xr:uid="{00000000-0005-0000-0000-0000D0170000}"/>
    <cellStyle name="Normal 4 3 5 2 2 2 2" xfId="6603" xr:uid="{00000000-0005-0000-0000-0000D1170000}"/>
    <cellStyle name="Normal 4 3 5 2 2 2 2 2" xfId="6604" xr:uid="{00000000-0005-0000-0000-0000D2170000}"/>
    <cellStyle name="Normal 4 3 5 2 2 2 2 3" xfId="6605" xr:uid="{00000000-0005-0000-0000-0000D3170000}"/>
    <cellStyle name="Normal 4 3 5 2 2 2 3" xfId="6606" xr:uid="{00000000-0005-0000-0000-0000D4170000}"/>
    <cellStyle name="Normal 4 3 5 2 2 2 4" xfId="6607" xr:uid="{00000000-0005-0000-0000-0000D5170000}"/>
    <cellStyle name="Normal 4 3 5 2 2 2 5" xfId="6608" xr:uid="{00000000-0005-0000-0000-0000D6170000}"/>
    <cellStyle name="Normal 4 3 5 2 2 3" xfId="6609" xr:uid="{00000000-0005-0000-0000-0000D7170000}"/>
    <cellStyle name="Normal 4 3 5 2 2 3 2" xfId="6610" xr:uid="{00000000-0005-0000-0000-0000D8170000}"/>
    <cellStyle name="Normal 4 3 5 2 2 3 2 2" xfId="6611" xr:uid="{00000000-0005-0000-0000-0000D9170000}"/>
    <cellStyle name="Normal 4 3 5 2 2 3 2 3" xfId="6612" xr:uid="{00000000-0005-0000-0000-0000DA170000}"/>
    <cellStyle name="Normal 4 3 5 2 2 3 3" xfId="6613" xr:uid="{00000000-0005-0000-0000-0000DB170000}"/>
    <cellStyle name="Normal 4 3 5 2 2 3 4" xfId="6614" xr:uid="{00000000-0005-0000-0000-0000DC170000}"/>
    <cellStyle name="Normal 4 3 5 2 2 3 5" xfId="6615" xr:uid="{00000000-0005-0000-0000-0000DD170000}"/>
    <cellStyle name="Normal 4 3 5 2 2 4" xfId="6616" xr:uid="{00000000-0005-0000-0000-0000DE170000}"/>
    <cellStyle name="Normal 4 3 5 2 2 4 2" xfId="6617" xr:uid="{00000000-0005-0000-0000-0000DF170000}"/>
    <cellStyle name="Normal 4 3 5 2 2 4 3" xfId="6618" xr:uid="{00000000-0005-0000-0000-0000E0170000}"/>
    <cellStyle name="Normal 4 3 5 2 2 5" xfId="6619" xr:uid="{00000000-0005-0000-0000-0000E1170000}"/>
    <cellStyle name="Normal 4 3 5 2 2 6" xfId="6620" xr:uid="{00000000-0005-0000-0000-0000E2170000}"/>
    <cellStyle name="Normal 4 3 5 2 2 7" xfId="6621" xr:uid="{00000000-0005-0000-0000-0000E3170000}"/>
    <cellStyle name="Normal 4 3 5 2 3" xfId="6622" xr:uid="{00000000-0005-0000-0000-0000E4170000}"/>
    <cellStyle name="Normal 4 3 5 2 3 2" xfId="6623" xr:uid="{00000000-0005-0000-0000-0000E5170000}"/>
    <cellStyle name="Normal 4 3 5 2 3 2 2" xfId="6624" xr:uid="{00000000-0005-0000-0000-0000E6170000}"/>
    <cellStyle name="Normal 4 3 5 2 3 2 3" xfId="6625" xr:uid="{00000000-0005-0000-0000-0000E7170000}"/>
    <cellStyle name="Normal 4 3 5 2 3 3" xfId="6626" xr:uid="{00000000-0005-0000-0000-0000E8170000}"/>
    <cellStyle name="Normal 4 3 5 2 3 4" xfId="6627" xr:uid="{00000000-0005-0000-0000-0000E9170000}"/>
    <cellStyle name="Normal 4 3 5 2 3 5" xfId="6628" xr:uid="{00000000-0005-0000-0000-0000EA170000}"/>
    <cellStyle name="Normal 4 3 5 2 4" xfId="6629" xr:uid="{00000000-0005-0000-0000-0000EB170000}"/>
    <cellStyle name="Normal 4 3 5 2 4 2" xfId="6630" xr:uid="{00000000-0005-0000-0000-0000EC170000}"/>
    <cellStyle name="Normal 4 3 5 2 4 2 2" xfId="6631" xr:uid="{00000000-0005-0000-0000-0000ED170000}"/>
    <cellStyle name="Normal 4 3 5 2 4 2 3" xfId="6632" xr:uid="{00000000-0005-0000-0000-0000EE170000}"/>
    <cellStyle name="Normal 4 3 5 2 4 3" xfId="6633" xr:uid="{00000000-0005-0000-0000-0000EF170000}"/>
    <cellStyle name="Normal 4 3 5 2 4 4" xfId="6634" xr:uid="{00000000-0005-0000-0000-0000F0170000}"/>
    <cellStyle name="Normal 4 3 5 2 4 5" xfId="6635" xr:uid="{00000000-0005-0000-0000-0000F1170000}"/>
    <cellStyle name="Normal 4 3 5 2 5" xfId="6636" xr:uid="{00000000-0005-0000-0000-0000F2170000}"/>
    <cellStyle name="Normal 4 3 5 2 5 2" xfId="6637" xr:uid="{00000000-0005-0000-0000-0000F3170000}"/>
    <cellStyle name="Normal 4 3 5 2 5 3" xfId="6638" xr:uid="{00000000-0005-0000-0000-0000F4170000}"/>
    <cellStyle name="Normal 4 3 5 2 6" xfId="6639" xr:uid="{00000000-0005-0000-0000-0000F5170000}"/>
    <cellStyle name="Normal 4 3 5 2 7" xfId="6640" xr:uid="{00000000-0005-0000-0000-0000F6170000}"/>
    <cellStyle name="Normal 4 3 5 2 8" xfId="6641" xr:uid="{00000000-0005-0000-0000-0000F7170000}"/>
    <cellStyle name="Normal 4 3 5 3" xfId="6642" xr:uid="{00000000-0005-0000-0000-0000F8170000}"/>
    <cellStyle name="Normal 4 3 5 3 2" xfId="6643" xr:uid="{00000000-0005-0000-0000-0000F9170000}"/>
    <cellStyle name="Normal 4 3 5 3 2 2" xfId="6644" xr:uid="{00000000-0005-0000-0000-0000FA170000}"/>
    <cellStyle name="Normal 4 3 5 3 2 2 2" xfId="6645" xr:uid="{00000000-0005-0000-0000-0000FB170000}"/>
    <cellStyle name="Normal 4 3 5 3 2 2 3" xfId="6646" xr:uid="{00000000-0005-0000-0000-0000FC170000}"/>
    <cellStyle name="Normal 4 3 5 3 2 3" xfId="6647" xr:uid="{00000000-0005-0000-0000-0000FD170000}"/>
    <cellStyle name="Normal 4 3 5 3 2 4" xfId="6648" xr:uid="{00000000-0005-0000-0000-0000FE170000}"/>
    <cellStyle name="Normal 4 3 5 3 2 5" xfId="6649" xr:uid="{00000000-0005-0000-0000-0000FF170000}"/>
    <cellStyle name="Normal 4 3 5 3 3" xfId="6650" xr:uid="{00000000-0005-0000-0000-000000180000}"/>
    <cellStyle name="Normal 4 3 5 3 3 2" xfId="6651" xr:uid="{00000000-0005-0000-0000-000001180000}"/>
    <cellStyle name="Normal 4 3 5 3 3 2 2" xfId="6652" xr:uid="{00000000-0005-0000-0000-000002180000}"/>
    <cellStyle name="Normal 4 3 5 3 3 2 3" xfId="6653" xr:uid="{00000000-0005-0000-0000-000003180000}"/>
    <cellStyle name="Normal 4 3 5 3 3 3" xfId="6654" xr:uid="{00000000-0005-0000-0000-000004180000}"/>
    <cellStyle name="Normal 4 3 5 3 3 4" xfId="6655" xr:uid="{00000000-0005-0000-0000-000005180000}"/>
    <cellStyle name="Normal 4 3 5 3 3 5" xfId="6656" xr:uid="{00000000-0005-0000-0000-000006180000}"/>
    <cellStyle name="Normal 4 3 5 3 4" xfId="6657" xr:uid="{00000000-0005-0000-0000-000007180000}"/>
    <cellStyle name="Normal 4 3 5 3 4 2" xfId="6658" xr:uid="{00000000-0005-0000-0000-000008180000}"/>
    <cellStyle name="Normal 4 3 5 3 4 3" xfId="6659" xr:uid="{00000000-0005-0000-0000-000009180000}"/>
    <cellStyle name="Normal 4 3 5 3 5" xfId="6660" xr:uid="{00000000-0005-0000-0000-00000A180000}"/>
    <cellStyle name="Normal 4 3 5 3 6" xfId="6661" xr:uid="{00000000-0005-0000-0000-00000B180000}"/>
    <cellStyle name="Normal 4 3 5 3 7" xfId="6662" xr:uid="{00000000-0005-0000-0000-00000C180000}"/>
    <cellStyle name="Normal 4 3 5 4" xfId="6663" xr:uid="{00000000-0005-0000-0000-00000D180000}"/>
    <cellStyle name="Normal 4 3 5 4 2" xfId="6664" xr:uid="{00000000-0005-0000-0000-00000E180000}"/>
    <cellStyle name="Normal 4 3 5 4 2 2" xfId="6665" xr:uid="{00000000-0005-0000-0000-00000F180000}"/>
    <cellStyle name="Normal 4 3 5 4 2 3" xfId="6666" xr:uid="{00000000-0005-0000-0000-000010180000}"/>
    <cellStyle name="Normal 4 3 5 4 3" xfId="6667" xr:uid="{00000000-0005-0000-0000-000011180000}"/>
    <cellStyle name="Normal 4 3 5 4 4" xfId="6668" xr:uid="{00000000-0005-0000-0000-000012180000}"/>
    <cellStyle name="Normal 4 3 5 4 5" xfId="6669" xr:uid="{00000000-0005-0000-0000-000013180000}"/>
    <cellStyle name="Normal 4 3 5 5" xfId="6670" xr:uid="{00000000-0005-0000-0000-000014180000}"/>
    <cellStyle name="Normal 4 3 5 5 2" xfId="6671" xr:uid="{00000000-0005-0000-0000-000015180000}"/>
    <cellStyle name="Normal 4 3 5 5 2 2" xfId="6672" xr:uid="{00000000-0005-0000-0000-000016180000}"/>
    <cellStyle name="Normal 4 3 5 5 2 3" xfId="6673" xr:uid="{00000000-0005-0000-0000-000017180000}"/>
    <cellStyle name="Normal 4 3 5 5 3" xfId="6674" xr:uid="{00000000-0005-0000-0000-000018180000}"/>
    <cellStyle name="Normal 4 3 5 5 4" xfId="6675" xr:uid="{00000000-0005-0000-0000-000019180000}"/>
    <cellStyle name="Normal 4 3 5 5 5" xfId="6676" xr:uid="{00000000-0005-0000-0000-00001A180000}"/>
    <cellStyle name="Normal 4 3 5 6" xfId="6677" xr:uid="{00000000-0005-0000-0000-00001B180000}"/>
    <cellStyle name="Normal 4 3 5 6 2" xfId="6678" xr:uid="{00000000-0005-0000-0000-00001C180000}"/>
    <cellStyle name="Normal 4 3 5 6 3" xfId="6679" xr:uid="{00000000-0005-0000-0000-00001D180000}"/>
    <cellStyle name="Normal 4 3 5 7" xfId="6680" xr:uid="{00000000-0005-0000-0000-00001E180000}"/>
    <cellStyle name="Normal 4 3 5 8" xfId="6681" xr:uid="{00000000-0005-0000-0000-00001F180000}"/>
    <cellStyle name="Normal 4 3 5 9" xfId="6682" xr:uid="{00000000-0005-0000-0000-000020180000}"/>
    <cellStyle name="Normal 4 3 6" xfId="6683" xr:uid="{00000000-0005-0000-0000-000021180000}"/>
    <cellStyle name="Normal 4 3 6 2" xfId="6684" xr:uid="{00000000-0005-0000-0000-000022180000}"/>
    <cellStyle name="Normal 4 3 6 2 2" xfId="6685" xr:uid="{00000000-0005-0000-0000-000023180000}"/>
    <cellStyle name="Normal 4 3 6 2 2 2" xfId="6686" xr:uid="{00000000-0005-0000-0000-000024180000}"/>
    <cellStyle name="Normal 4 3 6 2 2 2 2" xfId="6687" xr:uid="{00000000-0005-0000-0000-000025180000}"/>
    <cellStyle name="Normal 4 3 6 2 2 2 2 2" xfId="6688" xr:uid="{00000000-0005-0000-0000-000026180000}"/>
    <cellStyle name="Normal 4 3 6 2 2 2 2 3" xfId="6689" xr:uid="{00000000-0005-0000-0000-000027180000}"/>
    <cellStyle name="Normal 4 3 6 2 2 2 3" xfId="6690" xr:uid="{00000000-0005-0000-0000-000028180000}"/>
    <cellStyle name="Normal 4 3 6 2 2 2 4" xfId="6691" xr:uid="{00000000-0005-0000-0000-000029180000}"/>
    <cellStyle name="Normal 4 3 6 2 2 2 5" xfId="6692" xr:uid="{00000000-0005-0000-0000-00002A180000}"/>
    <cellStyle name="Normal 4 3 6 2 2 3" xfId="6693" xr:uid="{00000000-0005-0000-0000-00002B180000}"/>
    <cellStyle name="Normal 4 3 6 2 2 3 2" xfId="6694" xr:uid="{00000000-0005-0000-0000-00002C180000}"/>
    <cellStyle name="Normal 4 3 6 2 2 3 2 2" xfId="6695" xr:uid="{00000000-0005-0000-0000-00002D180000}"/>
    <cellStyle name="Normal 4 3 6 2 2 3 2 3" xfId="6696" xr:uid="{00000000-0005-0000-0000-00002E180000}"/>
    <cellStyle name="Normal 4 3 6 2 2 3 3" xfId="6697" xr:uid="{00000000-0005-0000-0000-00002F180000}"/>
    <cellStyle name="Normal 4 3 6 2 2 3 4" xfId="6698" xr:uid="{00000000-0005-0000-0000-000030180000}"/>
    <cellStyle name="Normal 4 3 6 2 2 3 5" xfId="6699" xr:uid="{00000000-0005-0000-0000-000031180000}"/>
    <cellStyle name="Normal 4 3 6 2 2 4" xfId="6700" xr:uid="{00000000-0005-0000-0000-000032180000}"/>
    <cellStyle name="Normal 4 3 6 2 2 4 2" xfId="6701" xr:uid="{00000000-0005-0000-0000-000033180000}"/>
    <cellStyle name="Normal 4 3 6 2 2 4 3" xfId="6702" xr:uid="{00000000-0005-0000-0000-000034180000}"/>
    <cellStyle name="Normal 4 3 6 2 2 5" xfId="6703" xr:uid="{00000000-0005-0000-0000-000035180000}"/>
    <cellStyle name="Normal 4 3 6 2 2 6" xfId="6704" xr:uid="{00000000-0005-0000-0000-000036180000}"/>
    <cellStyle name="Normal 4 3 6 2 2 7" xfId="6705" xr:uid="{00000000-0005-0000-0000-000037180000}"/>
    <cellStyle name="Normal 4 3 6 2 3" xfId="6706" xr:uid="{00000000-0005-0000-0000-000038180000}"/>
    <cellStyle name="Normal 4 3 6 2 3 2" xfId="6707" xr:uid="{00000000-0005-0000-0000-000039180000}"/>
    <cellStyle name="Normal 4 3 6 2 3 2 2" xfId="6708" xr:uid="{00000000-0005-0000-0000-00003A180000}"/>
    <cellStyle name="Normal 4 3 6 2 3 2 3" xfId="6709" xr:uid="{00000000-0005-0000-0000-00003B180000}"/>
    <cellStyle name="Normal 4 3 6 2 3 3" xfId="6710" xr:uid="{00000000-0005-0000-0000-00003C180000}"/>
    <cellStyle name="Normal 4 3 6 2 3 4" xfId="6711" xr:uid="{00000000-0005-0000-0000-00003D180000}"/>
    <cellStyle name="Normal 4 3 6 2 3 5" xfId="6712" xr:uid="{00000000-0005-0000-0000-00003E180000}"/>
    <cellStyle name="Normal 4 3 6 2 4" xfId="6713" xr:uid="{00000000-0005-0000-0000-00003F180000}"/>
    <cellStyle name="Normal 4 3 6 2 4 2" xfId="6714" xr:uid="{00000000-0005-0000-0000-000040180000}"/>
    <cellStyle name="Normal 4 3 6 2 4 2 2" xfId="6715" xr:uid="{00000000-0005-0000-0000-000041180000}"/>
    <cellStyle name="Normal 4 3 6 2 4 2 3" xfId="6716" xr:uid="{00000000-0005-0000-0000-000042180000}"/>
    <cellStyle name="Normal 4 3 6 2 4 3" xfId="6717" xr:uid="{00000000-0005-0000-0000-000043180000}"/>
    <cellStyle name="Normal 4 3 6 2 4 4" xfId="6718" xr:uid="{00000000-0005-0000-0000-000044180000}"/>
    <cellStyle name="Normal 4 3 6 2 4 5" xfId="6719" xr:uid="{00000000-0005-0000-0000-000045180000}"/>
    <cellStyle name="Normal 4 3 6 2 5" xfId="6720" xr:uid="{00000000-0005-0000-0000-000046180000}"/>
    <cellStyle name="Normal 4 3 6 2 5 2" xfId="6721" xr:uid="{00000000-0005-0000-0000-000047180000}"/>
    <cellStyle name="Normal 4 3 6 2 5 3" xfId="6722" xr:uid="{00000000-0005-0000-0000-000048180000}"/>
    <cellStyle name="Normal 4 3 6 2 6" xfId="6723" xr:uid="{00000000-0005-0000-0000-000049180000}"/>
    <cellStyle name="Normal 4 3 6 2 7" xfId="6724" xr:uid="{00000000-0005-0000-0000-00004A180000}"/>
    <cellStyle name="Normal 4 3 6 2 8" xfId="6725" xr:uid="{00000000-0005-0000-0000-00004B180000}"/>
    <cellStyle name="Normal 4 3 6 3" xfId="6726" xr:uid="{00000000-0005-0000-0000-00004C180000}"/>
    <cellStyle name="Normal 4 3 6 3 2" xfId="6727" xr:uid="{00000000-0005-0000-0000-00004D180000}"/>
    <cellStyle name="Normal 4 3 6 3 2 2" xfId="6728" xr:uid="{00000000-0005-0000-0000-00004E180000}"/>
    <cellStyle name="Normal 4 3 6 3 2 2 2" xfId="6729" xr:uid="{00000000-0005-0000-0000-00004F180000}"/>
    <cellStyle name="Normal 4 3 6 3 2 2 3" xfId="6730" xr:uid="{00000000-0005-0000-0000-000050180000}"/>
    <cellStyle name="Normal 4 3 6 3 2 3" xfId="6731" xr:uid="{00000000-0005-0000-0000-000051180000}"/>
    <cellStyle name="Normal 4 3 6 3 2 4" xfId="6732" xr:uid="{00000000-0005-0000-0000-000052180000}"/>
    <cellStyle name="Normal 4 3 6 3 2 5" xfId="6733" xr:uid="{00000000-0005-0000-0000-000053180000}"/>
    <cellStyle name="Normal 4 3 6 3 3" xfId="6734" xr:uid="{00000000-0005-0000-0000-000054180000}"/>
    <cellStyle name="Normal 4 3 6 3 3 2" xfId="6735" xr:uid="{00000000-0005-0000-0000-000055180000}"/>
    <cellStyle name="Normal 4 3 6 3 3 2 2" xfId="6736" xr:uid="{00000000-0005-0000-0000-000056180000}"/>
    <cellStyle name="Normal 4 3 6 3 3 2 3" xfId="6737" xr:uid="{00000000-0005-0000-0000-000057180000}"/>
    <cellStyle name="Normal 4 3 6 3 3 3" xfId="6738" xr:uid="{00000000-0005-0000-0000-000058180000}"/>
    <cellStyle name="Normal 4 3 6 3 3 4" xfId="6739" xr:uid="{00000000-0005-0000-0000-000059180000}"/>
    <cellStyle name="Normal 4 3 6 3 3 5" xfId="6740" xr:uid="{00000000-0005-0000-0000-00005A180000}"/>
    <cellStyle name="Normal 4 3 6 3 4" xfId="6741" xr:uid="{00000000-0005-0000-0000-00005B180000}"/>
    <cellStyle name="Normal 4 3 6 3 4 2" xfId="6742" xr:uid="{00000000-0005-0000-0000-00005C180000}"/>
    <cellStyle name="Normal 4 3 6 3 4 3" xfId="6743" xr:uid="{00000000-0005-0000-0000-00005D180000}"/>
    <cellStyle name="Normal 4 3 6 3 5" xfId="6744" xr:uid="{00000000-0005-0000-0000-00005E180000}"/>
    <cellStyle name="Normal 4 3 6 3 6" xfId="6745" xr:uid="{00000000-0005-0000-0000-00005F180000}"/>
    <cellStyle name="Normal 4 3 6 3 7" xfId="6746" xr:uid="{00000000-0005-0000-0000-000060180000}"/>
    <cellStyle name="Normal 4 3 6 4" xfId="6747" xr:uid="{00000000-0005-0000-0000-000061180000}"/>
    <cellStyle name="Normal 4 3 6 4 2" xfId="6748" xr:uid="{00000000-0005-0000-0000-000062180000}"/>
    <cellStyle name="Normal 4 3 6 4 2 2" xfId="6749" xr:uid="{00000000-0005-0000-0000-000063180000}"/>
    <cellStyle name="Normal 4 3 6 4 2 3" xfId="6750" xr:uid="{00000000-0005-0000-0000-000064180000}"/>
    <cellStyle name="Normal 4 3 6 4 3" xfId="6751" xr:uid="{00000000-0005-0000-0000-000065180000}"/>
    <cellStyle name="Normal 4 3 6 4 4" xfId="6752" xr:uid="{00000000-0005-0000-0000-000066180000}"/>
    <cellStyle name="Normal 4 3 6 4 5" xfId="6753" xr:uid="{00000000-0005-0000-0000-000067180000}"/>
    <cellStyle name="Normal 4 3 6 5" xfId="6754" xr:uid="{00000000-0005-0000-0000-000068180000}"/>
    <cellStyle name="Normal 4 3 6 5 2" xfId="6755" xr:uid="{00000000-0005-0000-0000-000069180000}"/>
    <cellStyle name="Normal 4 3 6 5 2 2" xfId="6756" xr:uid="{00000000-0005-0000-0000-00006A180000}"/>
    <cellStyle name="Normal 4 3 6 5 2 3" xfId="6757" xr:uid="{00000000-0005-0000-0000-00006B180000}"/>
    <cellStyle name="Normal 4 3 6 5 3" xfId="6758" xr:uid="{00000000-0005-0000-0000-00006C180000}"/>
    <cellStyle name="Normal 4 3 6 5 4" xfId="6759" xr:uid="{00000000-0005-0000-0000-00006D180000}"/>
    <cellStyle name="Normal 4 3 6 5 5" xfId="6760" xr:uid="{00000000-0005-0000-0000-00006E180000}"/>
    <cellStyle name="Normal 4 3 6 6" xfId="6761" xr:uid="{00000000-0005-0000-0000-00006F180000}"/>
    <cellStyle name="Normal 4 3 6 6 2" xfId="6762" xr:uid="{00000000-0005-0000-0000-000070180000}"/>
    <cellStyle name="Normal 4 3 6 6 3" xfId="6763" xr:uid="{00000000-0005-0000-0000-000071180000}"/>
    <cellStyle name="Normal 4 3 6 7" xfId="6764" xr:uid="{00000000-0005-0000-0000-000072180000}"/>
    <cellStyle name="Normal 4 3 6 8" xfId="6765" xr:uid="{00000000-0005-0000-0000-000073180000}"/>
    <cellStyle name="Normal 4 3 6 9" xfId="6766" xr:uid="{00000000-0005-0000-0000-000074180000}"/>
    <cellStyle name="Normal 4 3 7" xfId="6767" xr:uid="{00000000-0005-0000-0000-000075180000}"/>
    <cellStyle name="Normal 4 3 7 2" xfId="6768" xr:uid="{00000000-0005-0000-0000-000076180000}"/>
    <cellStyle name="Normal 4 3 7 2 2" xfId="6769" xr:uid="{00000000-0005-0000-0000-000077180000}"/>
    <cellStyle name="Normal 4 3 7 2 2 2" xfId="6770" xr:uid="{00000000-0005-0000-0000-000078180000}"/>
    <cellStyle name="Normal 4 3 7 2 2 2 2" xfId="6771" xr:uid="{00000000-0005-0000-0000-000079180000}"/>
    <cellStyle name="Normal 4 3 7 2 2 2 2 2" xfId="6772" xr:uid="{00000000-0005-0000-0000-00007A180000}"/>
    <cellStyle name="Normal 4 3 7 2 2 2 2 3" xfId="6773" xr:uid="{00000000-0005-0000-0000-00007B180000}"/>
    <cellStyle name="Normal 4 3 7 2 2 2 3" xfId="6774" xr:uid="{00000000-0005-0000-0000-00007C180000}"/>
    <cellStyle name="Normal 4 3 7 2 2 2 4" xfId="6775" xr:uid="{00000000-0005-0000-0000-00007D180000}"/>
    <cellStyle name="Normal 4 3 7 2 2 2 5" xfId="6776" xr:uid="{00000000-0005-0000-0000-00007E180000}"/>
    <cellStyle name="Normal 4 3 7 2 2 3" xfId="6777" xr:uid="{00000000-0005-0000-0000-00007F180000}"/>
    <cellStyle name="Normal 4 3 7 2 2 3 2" xfId="6778" xr:uid="{00000000-0005-0000-0000-000080180000}"/>
    <cellStyle name="Normal 4 3 7 2 2 3 2 2" xfId="6779" xr:uid="{00000000-0005-0000-0000-000081180000}"/>
    <cellStyle name="Normal 4 3 7 2 2 3 2 3" xfId="6780" xr:uid="{00000000-0005-0000-0000-000082180000}"/>
    <cellStyle name="Normal 4 3 7 2 2 3 3" xfId="6781" xr:uid="{00000000-0005-0000-0000-000083180000}"/>
    <cellStyle name="Normal 4 3 7 2 2 3 4" xfId="6782" xr:uid="{00000000-0005-0000-0000-000084180000}"/>
    <cellStyle name="Normal 4 3 7 2 2 3 5" xfId="6783" xr:uid="{00000000-0005-0000-0000-000085180000}"/>
    <cellStyle name="Normal 4 3 7 2 2 4" xfId="6784" xr:uid="{00000000-0005-0000-0000-000086180000}"/>
    <cellStyle name="Normal 4 3 7 2 2 4 2" xfId="6785" xr:uid="{00000000-0005-0000-0000-000087180000}"/>
    <cellStyle name="Normal 4 3 7 2 2 4 3" xfId="6786" xr:uid="{00000000-0005-0000-0000-000088180000}"/>
    <cellStyle name="Normal 4 3 7 2 2 5" xfId="6787" xr:uid="{00000000-0005-0000-0000-000089180000}"/>
    <cellStyle name="Normal 4 3 7 2 2 6" xfId="6788" xr:uid="{00000000-0005-0000-0000-00008A180000}"/>
    <cellStyle name="Normal 4 3 7 2 2 7" xfId="6789" xr:uid="{00000000-0005-0000-0000-00008B180000}"/>
    <cellStyle name="Normal 4 3 7 2 3" xfId="6790" xr:uid="{00000000-0005-0000-0000-00008C180000}"/>
    <cellStyle name="Normal 4 3 7 2 3 2" xfId="6791" xr:uid="{00000000-0005-0000-0000-00008D180000}"/>
    <cellStyle name="Normal 4 3 7 2 3 2 2" xfId="6792" xr:uid="{00000000-0005-0000-0000-00008E180000}"/>
    <cellStyle name="Normal 4 3 7 2 3 2 3" xfId="6793" xr:uid="{00000000-0005-0000-0000-00008F180000}"/>
    <cellStyle name="Normal 4 3 7 2 3 3" xfId="6794" xr:uid="{00000000-0005-0000-0000-000090180000}"/>
    <cellStyle name="Normal 4 3 7 2 3 4" xfId="6795" xr:uid="{00000000-0005-0000-0000-000091180000}"/>
    <cellStyle name="Normal 4 3 7 2 3 5" xfId="6796" xr:uid="{00000000-0005-0000-0000-000092180000}"/>
    <cellStyle name="Normal 4 3 7 2 4" xfId="6797" xr:uid="{00000000-0005-0000-0000-000093180000}"/>
    <cellStyle name="Normal 4 3 7 2 4 2" xfId="6798" xr:uid="{00000000-0005-0000-0000-000094180000}"/>
    <cellStyle name="Normal 4 3 7 2 4 2 2" xfId="6799" xr:uid="{00000000-0005-0000-0000-000095180000}"/>
    <cellStyle name="Normal 4 3 7 2 4 2 3" xfId="6800" xr:uid="{00000000-0005-0000-0000-000096180000}"/>
    <cellStyle name="Normal 4 3 7 2 4 3" xfId="6801" xr:uid="{00000000-0005-0000-0000-000097180000}"/>
    <cellStyle name="Normal 4 3 7 2 4 4" xfId="6802" xr:uid="{00000000-0005-0000-0000-000098180000}"/>
    <cellStyle name="Normal 4 3 7 2 4 5" xfId="6803" xr:uid="{00000000-0005-0000-0000-000099180000}"/>
    <cellStyle name="Normal 4 3 7 2 5" xfId="6804" xr:uid="{00000000-0005-0000-0000-00009A180000}"/>
    <cellStyle name="Normal 4 3 7 2 5 2" xfId="6805" xr:uid="{00000000-0005-0000-0000-00009B180000}"/>
    <cellStyle name="Normal 4 3 7 2 5 3" xfId="6806" xr:uid="{00000000-0005-0000-0000-00009C180000}"/>
    <cellStyle name="Normal 4 3 7 2 6" xfId="6807" xr:uid="{00000000-0005-0000-0000-00009D180000}"/>
    <cellStyle name="Normal 4 3 7 2 7" xfId="6808" xr:uid="{00000000-0005-0000-0000-00009E180000}"/>
    <cellStyle name="Normal 4 3 7 2 8" xfId="6809" xr:uid="{00000000-0005-0000-0000-00009F180000}"/>
    <cellStyle name="Normal 4 3 7 3" xfId="6810" xr:uid="{00000000-0005-0000-0000-0000A0180000}"/>
    <cellStyle name="Normal 4 3 7 3 2" xfId="6811" xr:uid="{00000000-0005-0000-0000-0000A1180000}"/>
    <cellStyle name="Normal 4 3 7 3 2 2" xfId="6812" xr:uid="{00000000-0005-0000-0000-0000A2180000}"/>
    <cellStyle name="Normal 4 3 7 3 2 2 2" xfId="6813" xr:uid="{00000000-0005-0000-0000-0000A3180000}"/>
    <cellStyle name="Normal 4 3 7 3 2 2 3" xfId="6814" xr:uid="{00000000-0005-0000-0000-0000A4180000}"/>
    <cellStyle name="Normal 4 3 7 3 2 3" xfId="6815" xr:uid="{00000000-0005-0000-0000-0000A5180000}"/>
    <cellStyle name="Normal 4 3 7 3 2 4" xfId="6816" xr:uid="{00000000-0005-0000-0000-0000A6180000}"/>
    <cellStyle name="Normal 4 3 7 3 2 5" xfId="6817" xr:uid="{00000000-0005-0000-0000-0000A7180000}"/>
    <cellStyle name="Normal 4 3 7 3 3" xfId="6818" xr:uid="{00000000-0005-0000-0000-0000A8180000}"/>
    <cellStyle name="Normal 4 3 7 3 3 2" xfId="6819" xr:uid="{00000000-0005-0000-0000-0000A9180000}"/>
    <cellStyle name="Normal 4 3 7 3 3 2 2" xfId="6820" xr:uid="{00000000-0005-0000-0000-0000AA180000}"/>
    <cellStyle name="Normal 4 3 7 3 3 2 3" xfId="6821" xr:uid="{00000000-0005-0000-0000-0000AB180000}"/>
    <cellStyle name="Normal 4 3 7 3 3 3" xfId="6822" xr:uid="{00000000-0005-0000-0000-0000AC180000}"/>
    <cellStyle name="Normal 4 3 7 3 3 4" xfId="6823" xr:uid="{00000000-0005-0000-0000-0000AD180000}"/>
    <cellStyle name="Normal 4 3 7 3 3 5" xfId="6824" xr:uid="{00000000-0005-0000-0000-0000AE180000}"/>
    <cellStyle name="Normal 4 3 7 3 4" xfId="6825" xr:uid="{00000000-0005-0000-0000-0000AF180000}"/>
    <cellStyle name="Normal 4 3 7 3 4 2" xfId="6826" xr:uid="{00000000-0005-0000-0000-0000B0180000}"/>
    <cellStyle name="Normal 4 3 7 3 4 3" xfId="6827" xr:uid="{00000000-0005-0000-0000-0000B1180000}"/>
    <cellStyle name="Normal 4 3 7 3 5" xfId="6828" xr:uid="{00000000-0005-0000-0000-0000B2180000}"/>
    <cellStyle name="Normal 4 3 7 3 6" xfId="6829" xr:uid="{00000000-0005-0000-0000-0000B3180000}"/>
    <cellStyle name="Normal 4 3 7 3 7" xfId="6830" xr:uid="{00000000-0005-0000-0000-0000B4180000}"/>
    <cellStyle name="Normal 4 3 7 4" xfId="6831" xr:uid="{00000000-0005-0000-0000-0000B5180000}"/>
    <cellStyle name="Normal 4 3 7 4 2" xfId="6832" xr:uid="{00000000-0005-0000-0000-0000B6180000}"/>
    <cellStyle name="Normal 4 3 7 4 2 2" xfId="6833" xr:uid="{00000000-0005-0000-0000-0000B7180000}"/>
    <cellStyle name="Normal 4 3 7 4 2 3" xfId="6834" xr:uid="{00000000-0005-0000-0000-0000B8180000}"/>
    <cellStyle name="Normal 4 3 7 4 3" xfId="6835" xr:uid="{00000000-0005-0000-0000-0000B9180000}"/>
    <cellStyle name="Normal 4 3 7 4 4" xfId="6836" xr:uid="{00000000-0005-0000-0000-0000BA180000}"/>
    <cellStyle name="Normal 4 3 7 4 5" xfId="6837" xr:uid="{00000000-0005-0000-0000-0000BB180000}"/>
    <cellStyle name="Normal 4 3 7 5" xfId="6838" xr:uid="{00000000-0005-0000-0000-0000BC180000}"/>
    <cellStyle name="Normal 4 3 7 5 2" xfId="6839" xr:uid="{00000000-0005-0000-0000-0000BD180000}"/>
    <cellStyle name="Normal 4 3 7 5 2 2" xfId="6840" xr:uid="{00000000-0005-0000-0000-0000BE180000}"/>
    <cellStyle name="Normal 4 3 7 5 2 3" xfId="6841" xr:uid="{00000000-0005-0000-0000-0000BF180000}"/>
    <cellStyle name="Normal 4 3 7 5 3" xfId="6842" xr:uid="{00000000-0005-0000-0000-0000C0180000}"/>
    <cellStyle name="Normal 4 3 7 5 4" xfId="6843" xr:uid="{00000000-0005-0000-0000-0000C1180000}"/>
    <cellStyle name="Normal 4 3 7 5 5" xfId="6844" xr:uid="{00000000-0005-0000-0000-0000C2180000}"/>
    <cellStyle name="Normal 4 3 7 6" xfId="6845" xr:uid="{00000000-0005-0000-0000-0000C3180000}"/>
    <cellStyle name="Normal 4 3 7 6 2" xfId="6846" xr:uid="{00000000-0005-0000-0000-0000C4180000}"/>
    <cellStyle name="Normal 4 3 7 6 3" xfId="6847" xr:uid="{00000000-0005-0000-0000-0000C5180000}"/>
    <cellStyle name="Normal 4 3 7 7" xfId="6848" xr:uid="{00000000-0005-0000-0000-0000C6180000}"/>
    <cellStyle name="Normal 4 3 7 8" xfId="6849" xr:uid="{00000000-0005-0000-0000-0000C7180000}"/>
    <cellStyle name="Normal 4 3 7 9" xfId="6850" xr:uid="{00000000-0005-0000-0000-0000C8180000}"/>
    <cellStyle name="Normal 4 3 8" xfId="6851" xr:uid="{00000000-0005-0000-0000-0000C9180000}"/>
    <cellStyle name="Normal 4 3 8 2" xfId="6852" xr:uid="{00000000-0005-0000-0000-0000CA180000}"/>
    <cellStyle name="Normal 4 3 8 2 2" xfId="6853" xr:uid="{00000000-0005-0000-0000-0000CB180000}"/>
    <cellStyle name="Normal 4 3 8 2 2 2" xfId="6854" xr:uid="{00000000-0005-0000-0000-0000CC180000}"/>
    <cellStyle name="Normal 4 3 8 2 2 2 2" xfId="6855" xr:uid="{00000000-0005-0000-0000-0000CD180000}"/>
    <cellStyle name="Normal 4 3 8 2 2 2 3" xfId="6856" xr:uid="{00000000-0005-0000-0000-0000CE180000}"/>
    <cellStyle name="Normal 4 3 8 2 2 3" xfId="6857" xr:uid="{00000000-0005-0000-0000-0000CF180000}"/>
    <cellStyle name="Normal 4 3 8 2 2 4" xfId="6858" xr:uid="{00000000-0005-0000-0000-0000D0180000}"/>
    <cellStyle name="Normal 4 3 8 2 2 5" xfId="6859" xr:uid="{00000000-0005-0000-0000-0000D1180000}"/>
    <cellStyle name="Normal 4 3 8 2 3" xfId="6860" xr:uid="{00000000-0005-0000-0000-0000D2180000}"/>
    <cellStyle name="Normal 4 3 8 2 3 2" xfId="6861" xr:uid="{00000000-0005-0000-0000-0000D3180000}"/>
    <cellStyle name="Normal 4 3 8 2 3 2 2" xfId="6862" xr:uid="{00000000-0005-0000-0000-0000D4180000}"/>
    <cellStyle name="Normal 4 3 8 2 3 2 3" xfId="6863" xr:uid="{00000000-0005-0000-0000-0000D5180000}"/>
    <cellStyle name="Normal 4 3 8 2 3 3" xfId="6864" xr:uid="{00000000-0005-0000-0000-0000D6180000}"/>
    <cellStyle name="Normal 4 3 8 2 3 4" xfId="6865" xr:uid="{00000000-0005-0000-0000-0000D7180000}"/>
    <cellStyle name="Normal 4 3 8 2 3 5" xfId="6866" xr:uid="{00000000-0005-0000-0000-0000D8180000}"/>
    <cellStyle name="Normal 4 3 8 2 4" xfId="6867" xr:uid="{00000000-0005-0000-0000-0000D9180000}"/>
    <cellStyle name="Normal 4 3 8 2 4 2" xfId="6868" xr:uid="{00000000-0005-0000-0000-0000DA180000}"/>
    <cellStyle name="Normal 4 3 8 2 4 3" xfId="6869" xr:uid="{00000000-0005-0000-0000-0000DB180000}"/>
    <cellStyle name="Normal 4 3 8 2 5" xfId="6870" xr:uid="{00000000-0005-0000-0000-0000DC180000}"/>
    <cellStyle name="Normal 4 3 8 2 6" xfId="6871" xr:uid="{00000000-0005-0000-0000-0000DD180000}"/>
    <cellStyle name="Normal 4 3 8 2 7" xfId="6872" xr:uid="{00000000-0005-0000-0000-0000DE180000}"/>
    <cellStyle name="Normal 4 3 8 3" xfId="6873" xr:uid="{00000000-0005-0000-0000-0000DF180000}"/>
    <cellStyle name="Normal 4 3 8 3 2" xfId="6874" xr:uid="{00000000-0005-0000-0000-0000E0180000}"/>
    <cellStyle name="Normal 4 3 8 3 2 2" xfId="6875" xr:uid="{00000000-0005-0000-0000-0000E1180000}"/>
    <cellStyle name="Normal 4 3 8 3 2 3" xfId="6876" xr:uid="{00000000-0005-0000-0000-0000E2180000}"/>
    <cellStyle name="Normal 4 3 8 3 3" xfId="6877" xr:uid="{00000000-0005-0000-0000-0000E3180000}"/>
    <cellStyle name="Normal 4 3 8 3 4" xfId="6878" xr:uid="{00000000-0005-0000-0000-0000E4180000}"/>
    <cellStyle name="Normal 4 3 8 3 5" xfId="6879" xr:uid="{00000000-0005-0000-0000-0000E5180000}"/>
    <cellStyle name="Normal 4 3 8 4" xfId="6880" xr:uid="{00000000-0005-0000-0000-0000E6180000}"/>
    <cellStyle name="Normal 4 3 8 4 2" xfId="6881" xr:uid="{00000000-0005-0000-0000-0000E7180000}"/>
    <cellStyle name="Normal 4 3 8 4 2 2" xfId="6882" xr:uid="{00000000-0005-0000-0000-0000E8180000}"/>
    <cellStyle name="Normal 4 3 8 4 2 3" xfId="6883" xr:uid="{00000000-0005-0000-0000-0000E9180000}"/>
    <cellStyle name="Normal 4 3 8 4 3" xfId="6884" xr:uid="{00000000-0005-0000-0000-0000EA180000}"/>
    <cellStyle name="Normal 4 3 8 4 4" xfId="6885" xr:uid="{00000000-0005-0000-0000-0000EB180000}"/>
    <cellStyle name="Normal 4 3 8 4 5" xfId="6886" xr:uid="{00000000-0005-0000-0000-0000EC180000}"/>
    <cellStyle name="Normal 4 3 8 5" xfId="6887" xr:uid="{00000000-0005-0000-0000-0000ED180000}"/>
    <cellStyle name="Normal 4 3 8 5 2" xfId="6888" xr:uid="{00000000-0005-0000-0000-0000EE180000}"/>
    <cellStyle name="Normal 4 3 8 5 3" xfId="6889" xr:uid="{00000000-0005-0000-0000-0000EF180000}"/>
    <cellStyle name="Normal 4 3 8 6" xfId="6890" xr:uid="{00000000-0005-0000-0000-0000F0180000}"/>
    <cellStyle name="Normal 4 3 8 7" xfId="6891" xr:uid="{00000000-0005-0000-0000-0000F1180000}"/>
    <cellStyle name="Normal 4 3 8 8" xfId="6892" xr:uid="{00000000-0005-0000-0000-0000F2180000}"/>
    <cellStyle name="Normal 4 3 9" xfId="6893" xr:uid="{00000000-0005-0000-0000-0000F3180000}"/>
    <cellStyle name="Normal 4 3 9 2" xfId="6894" xr:uid="{00000000-0005-0000-0000-0000F4180000}"/>
    <cellStyle name="Normal 4 3 9 2 2" xfId="6895" xr:uid="{00000000-0005-0000-0000-0000F5180000}"/>
    <cellStyle name="Normal 4 3 9 2 2 2" xfId="6896" xr:uid="{00000000-0005-0000-0000-0000F6180000}"/>
    <cellStyle name="Normal 4 3 9 2 2 3" xfId="6897" xr:uid="{00000000-0005-0000-0000-0000F7180000}"/>
    <cellStyle name="Normal 4 3 9 2 3" xfId="6898" xr:uid="{00000000-0005-0000-0000-0000F8180000}"/>
    <cellStyle name="Normal 4 3 9 2 4" xfId="6899" xr:uid="{00000000-0005-0000-0000-0000F9180000}"/>
    <cellStyle name="Normal 4 3 9 2 5" xfId="6900" xr:uid="{00000000-0005-0000-0000-0000FA180000}"/>
    <cellStyle name="Normal 4 3 9 3" xfId="6901" xr:uid="{00000000-0005-0000-0000-0000FB180000}"/>
    <cellStyle name="Normal 4 3 9 3 2" xfId="6902" xr:uid="{00000000-0005-0000-0000-0000FC180000}"/>
    <cellStyle name="Normal 4 3 9 3 2 2" xfId="6903" xr:uid="{00000000-0005-0000-0000-0000FD180000}"/>
    <cellStyle name="Normal 4 3 9 3 2 3" xfId="6904" xr:uid="{00000000-0005-0000-0000-0000FE180000}"/>
    <cellStyle name="Normal 4 3 9 3 3" xfId="6905" xr:uid="{00000000-0005-0000-0000-0000FF180000}"/>
    <cellStyle name="Normal 4 3 9 3 4" xfId="6906" xr:uid="{00000000-0005-0000-0000-000000190000}"/>
    <cellStyle name="Normal 4 3 9 3 5" xfId="6907" xr:uid="{00000000-0005-0000-0000-000001190000}"/>
    <cellStyle name="Normal 4 3 9 4" xfId="6908" xr:uid="{00000000-0005-0000-0000-000002190000}"/>
    <cellStyle name="Normal 4 3 9 4 2" xfId="6909" xr:uid="{00000000-0005-0000-0000-000003190000}"/>
    <cellStyle name="Normal 4 3 9 4 3" xfId="6910" xr:uid="{00000000-0005-0000-0000-000004190000}"/>
    <cellStyle name="Normal 4 3 9 5" xfId="6911" xr:uid="{00000000-0005-0000-0000-000005190000}"/>
    <cellStyle name="Normal 4 3 9 6" xfId="6912" xr:uid="{00000000-0005-0000-0000-000006190000}"/>
    <cellStyle name="Normal 4 3 9 7" xfId="6913" xr:uid="{00000000-0005-0000-0000-000007190000}"/>
    <cellStyle name="Normal 4 4" xfId="551" xr:uid="{00000000-0005-0000-0000-000008190000}"/>
    <cellStyle name="Normal 4 4 10" xfId="6914" xr:uid="{00000000-0005-0000-0000-000009190000}"/>
    <cellStyle name="Normal 4 4 10 2" xfId="6915" xr:uid="{00000000-0005-0000-0000-00000A190000}"/>
    <cellStyle name="Normal 4 4 10 2 2" xfId="6916" xr:uid="{00000000-0005-0000-0000-00000B190000}"/>
    <cellStyle name="Normal 4 4 10 2 3" xfId="6917" xr:uid="{00000000-0005-0000-0000-00000C190000}"/>
    <cellStyle name="Normal 4 4 10 3" xfId="6918" xr:uid="{00000000-0005-0000-0000-00000D190000}"/>
    <cellStyle name="Normal 4 4 10 4" xfId="6919" xr:uid="{00000000-0005-0000-0000-00000E190000}"/>
    <cellStyle name="Normal 4 4 10 5" xfId="6920" xr:uid="{00000000-0005-0000-0000-00000F190000}"/>
    <cellStyle name="Normal 4 4 11" xfId="6921" xr:uid="{00000000-0005-0000-0000-000010190000}"/>
    <cellStyle name="Normal 4 4 11 2" xfId="6922" xr:uid="{00000000-0005-0000-0000-000011190000}"/>
    <cellStyle name="Normal 4 4 11 3" xfId="6923" xr:uid="{00000000-0005-0000-0000-000012190000}"/>
    <cellStyle name="Normal 4 4 12" xfId="6924" xr:uid="{00000000-0005-0000-0000-000013190000}"/>
    <cellStyle name="Normal 4 4 13" xfId="6925" xr:uid="{00000000-0005-0000-0000-000014190000}"/>
    <cellStyle name="Normal 4 4 14" xfId="6926" xr:uid="{00000000-0005-0000-0000-000015190000}"/>
    <cellStyle name="Normal 4 4 15" xfId="1107" xr:uid="{00000000-0005-0000-0000-000016190000}"/>
    <cellStyle name="Normal 4 4 2" xfId="6927" xr:uid="{00000000-0005-0000-0000-000017190000}"/>
    <cellStyle name="Normal 4 4 2 10" xfId="6928" xr:uid="{00000000-0005-0000-0000-000018190000}"/>
    <cellStyle name="Normal 4 4 2 10 2" xfId="6929" xr:uid="{00000000-0005-0000-0000-000019190000}"/>
    <cellStyle name="Normal 4 4 2 10 3" xfId="6930" xr:uid="{00000000-0005-0000-0000-00001A190000}"/>
    <cellStyle name="Normal 4 4 2 11" xfId="6931" xr:uid="{00000000-0005-0000-0000-00001B190000}"/>
    <cellStyle name="Normal 4 4 2 12" xfId="6932" xr:uid="{00000000-0005-0000-0000-00001C190000}"/>
    <cellStyle name="Normal 4 4 2 13" xfId="6933" xr:uid="{00000000-0005-0000-0000-00001D190000}"/>
    <cellStyle name="Normal 4 4 2 2" xfId="6934" xr:uid="{00000000-0005-0000-0000-00001E190000}"/>
    <cellStyle name="Normal 4 4 2 2 2" xfId="6935" xr:uid="{00000000-0005-0000-0000-00001F190000}"/>
    <cellStyle name="Normal 4 4 2 2 2 2" xfId="6936" xr:uid="{00000000-0005-0000-0000-000020190000}"/>
    <cellStyle name="Normal 4 4 2 2 2 2 2" xfId="6937" xr:uid="{00000000-0005-0000-0000-000021190000}"/>
    <cellStyle name="Normal 4 4 2 2 2 2 2 2" xfId="6938" xr:uid="{00000000-0005-0000-0000-000022190000}"/>
    <cellStyle name="Normal 4 4 2 2 2 2 2 2 2" xfId="6939" xr:uid="{00000000-0005-0000-0000-000023190000}"/>
    <cellStyle name="Normal 4 4 2 2 2 2 2 2 3" xfId="6940" xr:uid="{00000000-0005-0000-0000-000024190000}"/>
    <cellStyle name="Normal 4 4 2 2 2 2 2 3" xfId="6941" xr:uid="{00000000-0005-0000-0000-000025190000}"/>
    <cellStyle name="Normal 4 4 2 2 2 2 2 4" xfId="6942" xr:uid="{00000000-0005-0000-0000-000026190000}"/>
    <cellStyle name="Normal 4 4 2 2 2 2 2 5" xfId="6943" xr:uid="{00000000-0005-0000-0000-000027190000}"/>
    <cellStyle name="Normal 4 4 2 2 2 2 3" xfId="6944" xr:uid="{00000000-0005-0000-0000-000028190000}"/>
    <cellStyle name="Normal 4 4 2 2 2 2 3 2" xfId="6945" xr:uid="{00000000-0005-0000-0000-000029190000}"/>
    <cellStyle name="Normal 4 4 2 2 2 2 3 2 2" xfId="6946" xr:uid="{00000000-0005-0000-0000-00002A190000}"/>
    <cellStyle name="Normal 4 4 2 2 2 2 3 2 3" xfId="6947" xr:uid="{00000000-0005-0000-0000-00002B190000}"/>
    <cellStyle name="Normal 4 4 2 2 2 2 3 3" xfId="6948" xr:uid="{00000000-0005-0000-0000-00002C190000}"/>
    <cellStyle name="Normal 4 4 2 2 2 2 3 4" xfId="6949" xr:uid="{00000000-0005-0000-0000-00002D190000}"/>
    <cellStyle name="Normal 4 4 2 2 2 2 3 5" xfId="6950" xr:uid="{00000000-0005-0000-0000-00002E190000}"/>
    <cellStyle name="Normal 4 4 2 2 2 2 4" xfId="6951" xr:uid="{00000000-0005-0000-0000-00002F190000}"/>
    <cellStyle name="Normal 4 4 2 2 2 2 4 2" xfId="6952" xr:uid="{00000000-0005-0000-0000-000030190000}"/>
    <cellStyle name="Normal 4 4 2 2 2 2 4 3" xfId="6953" xr:uid="{00000000-0005-0000-0000-000031190000}"/>
    <cellStyle name="Normal 4 4 2 2 2 2 5" xfId="6954" xr:uid="{00000000-0005-0000-0000-000032190000}"/>
    <cellStyle name="Normal 4 4 2 2 2 2 6" xfId="6955" xr:uid="{00000000-0005-0000-0000-000033190000}"/>
    <cellStyle name="Normal 4 4 2 2 2 2 7" xfId="6956" xr:uid="{00000000-0005-0000-0000-000034190000}"/>
    <cellStyle name="Normal 4 4 2 2 2 3" xfId="6957" xr:uid="{00000000-0005-0000-0000-000035190000}"/>
    <cellStyle name="Normal 4 4 2 2 2 3 2" xfId="6958" xr:uid="{00000000-0005-0000-0000-000036190000}"/>
    <cellStyle name="Normal 4 4 2 2 2 3 2 2" xfId="6959" xr:uid="{00000000-0005-0000-0000-000037190000}"/>
    <cellStyle name="Normal 4 4 2 2 2 3 2 3" xfId="6960" xr:uid="{00000000-0005-0000-0000-000038190000}"/>
    <cellStyle name="Normal 4 4 2 2 2 3 3" xfId="6961" xr:uid="{00000000-0005-0000-0000-000039190000}"/>
    <cellStyle name="Normal 4 4 2 2 2 3 4" xfId="6962" xr:uid="{00000000-0005-0000-0000-00003A190000}"/>
    <cellStyle name="Normal 4 4 2 2 2 3 5" xfId="6963" xr:uid="{00000000-0005-0000-0000-00003B190000}"/>
    <cellStyle name="Normal 4 4 2 2 2 4" xfId="6964" xr:uid="{00000000-0005-0000-0000-00003C190000}"/>
    <cellStyle name="Normal 4 4 2 2 2 4 2" xfId="6965" xr:uid="{00000000-0005-0000-0000-00003D190000}"/>
    <cellStyle name="Normal 4 4 2 2 2 4 2 2" xfId="6966" xr:uid="{00000000-0005-0000-0000-00003E190000}"/>
    <cellStyle name="Normal 4 4 2 2 2 4 2 3" xfId="6967" xr:uid="{00000000-0005-0000-0000-00003F190000}"/>
    <cellStyle name="Normal 4 4 2 2 2 4 3" xfId="6968" xr:uid="{00000000-0005-0000-0000-000040190000}"/>
    <cellStyle name="Normal 4 4 2 2 2 4 4" xfId="6969" xr:uid="{00000000-0005-0000-0000-000041190000}"/>
    <cellStyle name="Normal 4 4 2 2 2 4 5" xfId="6970" xr:uid="{00000000-0005-0000-0000-000042190000}"/>
    <cellStyle name="Normal 4 4 2 2 2 5" xfId="6971" xr:uid="{00000000-0005-0000-0000-000043190000}"/>
    <cellStyle name="Normal 4 4 2 2 2 5 2" xfId="6972" xr:uid="{00000000-0005-0000-0000-000044190000}"/>
    <cellStyle name="Normal 4 4 2 2 2 5 3" xfId="6973" xr:uid="{00000000-0005-0000-0000-000045190000}"/>
    <cellStyle name="Normal 4 4 2 2 2 6" xfId="6974" xr:uid="{00000000-0005-0000-0000-000046190000}"/>
    <cellStyle name="Normal 4 4 2 2 2 7" xfId="6975" xr:uid="{00000000-0005-0000-0000-000047190000}"/>
    <cellStyle name="Normal 4 4 2 2 2 8" xfId="6976" xr:uid="{00000000-0005-0000-0000-000048190000}"/>
    <cellStyle name="Normal 4 4 2 2 3" xfId="6977" xr:uid="{00000000-0005-0000-0000-000049190000}"/>
    <cellStyle name="Normal 4 4 2 2 3 2" xfId="6978" xr:uid="{00000000-0005-0000-0000-00004A190000}"/>
    <cellStyle name="Normal 4 4 2 2 3 2 2" xfId="6979" xr:uid="{00000000-0005-0000-0000-00004B190000}"/>
    <cellStyle name="Normal 4 4 2 2 3 2 2 2" xfId="6980" xr:uid="{00000000-0005-0000-0000-00004C190000}"/>
    <cellStyle name="Normal 4 4 2 2 3 2 2 3" xfId="6981" xr:uid="{00000000-0005-0000-0000-00004D190000}"/>
    <cellStyle name="Normal 4 4 2 2 3 2 3" xfId="6982" xr:uid="{00000000-0005-0000-0000-00004E190000}"/>
    <cellStyle name="Normal 4 4 2 2 3 2 4" xfId="6983" xr:uid="{00000000-0005-0000-0000-00004F190000}"/>
    <cellStyle name="Normal 4 4 2 2 3 2 5" xfId="6984" xr:uid="{00000000-0005-0000-0000-000050190000}"/>
    <cellStyle name="Normal 4 4 2 2 3 3" xfId="6985" xr:uid="{00000000-0005-0000-0000-000051190000}"/>
    <cellStyle name="Normal 4 4 2 2 3 3 2" xfId="6986" xr:uid="{00000000-0005-0000-0000-000052190000}"/>
    <cellStyle name="Normal 4 4 2 2 3 3 2 2" xfId="6987" xr:uid="{00000000-0005-0000-0000-000053190000}"/>
    <cellStyle name="Normal 4 4 2 2 3 3 2 3" xfId="6988" xr:uid="{00000000-0005-0000-0000-000054190000}"/>
    <cellStyle name="Normal 4 4 2 2 3 3 3" xfId="6989" xr:uid="{00000000-0005-0000-0000-000055190000}"/>
    <cellStyle name="Normal 4 4 2 2 3 3 4" xfId="6990" xr:uid="{00000000-0005-0000-0000-000056190000}"/>
    <cellStyle name="Normal 4 4 2 2 3 3 5" xfId="6991" xr:uid="{00000000-0005-0000-0000-000057190000}"/>
    <cellStyle name="Normal 4 4 2 2 3 4" xfId="6992" xr:uid="{00000000-0005-0000-0000-000058190000}"/>
    <cellStyle name="Normal 4 4 2 2 3 4 2" xfId="6993" xr:uid="{00000000-0005-0000-0000-000059190000}"/>
    <cellStyle name="Normal 4 4 2 2 3 4 3" xfId="6994" xr:uid="{00000000-0005-0000-0000-00005A190000}"/>
    <cellStyle name="Normal 4 4 2 2 3 5" xfId="6995" xr:uid="{00000000-0005-0000-0000-00005B190000}"/>
    <cellStyle name="Normal 4 4 2 2 3 6" xfId="6996" xr:uid="{00000000-0005-0000-0000-00005C190000}"/>
    <cellStyle name="Normal 4 4 2 2 3 7" xfId="6997" xr:uid="{00000000-0005-0000-0000-00005D190000}"/>
    <cellStyle name="Normal 4 4 2 2 4" xfId="6998" xr:uid="{00000000-0005-0000-0000-00005E190000}"/>
    <cellStyle name="Normal 4 4 2 2 4 2" xfId="6999" xr:uid="{00000000-0005-0000-0000-00005F190000}"/>
    <cellStyle name="Normal 4 4 2 2 4 2 2" xfId="7000" xr:uid="{00000000-0005-0000-0000-000060190000}"/>
    <cellStyle name="Normal 4 4 2 2 4 2 3" xfId="7001" xr:uid="{00000000-0005-0000-0000-000061190000}"/>
    <cellStyle name="Normal 4 4 2 2 4 3" xfId="7002" xr:uid="{00000000-0005-0000-0000-000062190000}"/>
    <cellStyle name="Normal 4 4 2 2 4 4" xfId="7003" xr:uid="{00000000-0005-0000-0000-000063190000}"/>
    <cellStyle name="Normal 4 4 2 2 4 5" xfId="7004" xr:uid="{00000000-0005-0000-0000-000064190000}"/>
    <cellStyle name="Normal 4 4 2 2 5" xfId="7005" xr:uid="{00000000-0005-0000-0000-000065190000}"/>
    <cellStyle name="Normal 4 4 2 2 5 2" xfId="7006" xr:uid="{00000000-0005-0000-0000-000066190000}"/>
    <cellStyle name="Normal 4 4 2 2 5 2 2" xfId="7007" xr:uid="{00000000-0005-0000-0000-000067190000}"/>
    <cellStyle name="Normal 4 4 2 2 5 2 3" xfId="7008" xr:uid="{00000000-0005-0000-0000-000068190000}"/>
    <cellStyle name="Normal 4 4 2 2 5 3" xfId="7009" xr:uid="{00000000-0005-0000-0000-000069190000}"/>
    <cellStyle name="Normal 4 4 2 2 5 4" xfId="7010" xr:uid="{00000000-0005-0000-0000-00006A190000}"/>
    <cellStyle name="Normal 4 4 2 2 5 5" xfId="7011" xr:uid="{00000000-0005-0000-0000-00006B190000}"/>
    <cellStyle name="Normal 4 4 2 2 6" xfId="7012" xr:uid="{00000000-0005-0000-0000-00006C190000}"/>
    <cellStyle name="Normal 4 4 2 2 6 2" xfId="7013" xr:uid="{00000000-0005-0000-0000-00006D190000}"/>
    <cellStyle name="Normal 4 4 2 2 6 3" xfId="7014" xr:uid="{00000000-0005-0000-0000-00006E190000}"/>
    <cellStyle name="Normal 4 4 2 2 7" xfId="7015" xr:uid="{00000000-0005-0000-0000-00006F190000}"/>
    <cellStyle name="Normal 4 4 2 2 8" xfId="7016" xr:uid="{00000000-0005-0000-0000-000070190000}"/>
    <cellStyle name="Normal 4 4 2 2 9" xfId="7017" xr:uid="{00000000-0005-0000-0000-000071190000}"/>
    <cellStyle name="Normal 4 4 2 3" xfId="7018" xr:uid="{00000000-0005-0000-0000-000072190000}"/>
    <cellStyle name="Normal 4 4 2 3 2" xfId="7019" xr:uid="{00000000-0005-0000-0000-000073190000}"/>
    <cellStyle name="Normal 4 4 2 3 2 2" xfId="7020" xr:uid="{00000000-0005-0000-0000-000074190000}"/>
    <cellStyle name="Normal 4 4 2 3 2 2 2" xfId="7021" xr:uid="{00000000-0005-0000-0000-000075190000}"/>
    <cellStyle name="Normal 4 4 2 3 2 2 2 2" xfId="7022" xr:uid="{00000000-0005-0000-0000-000076190000}"/>
    <cellStyle name="Normal 4 4 2 3 2 2 2 2 2" xfId="7023" xr:uid="{00000000-0005-0000-0000-000077190000}"/>
    <cellStyle name="Normal 4 4 2 3 2 2 2 2 3" xfId="7024" xr:uid="{00000000-0005-0000-0000-000078190000}"/>
    <cellStyle name="Normal 4 4 2 3 2 2 2 3" xfId="7025" xr:uid="{00000000-0005-0000-0000-000079190000}"/>
    <cellStyle name="Normal 4 4 2 3 2 2 2 4" xfId="7026" xr:uid="{00000000-0005-0000-0000-00007A190000}"/>
    <cellStyle name="Normal 4 4 2 3 2 2 2 5" xfId="7027" xr:uid="{00000000-0005-0000-0000-00007B190000}"/>
    <cellStyle name="Normal 4 4 2 3 2 2 3" xfId="7028" xr:uid="{00000000-0005-0000-0000-00007C190000}"/>
    <cellStyle name="Normal 4 4 2 3 2 2 3 2" xfId="7029" xr:uid="{00000000-0005-0000-0000-00007D190000}"/>
    <cellStyle name="Normal 4 4 2 3 2 2 3 2 2" xfId="7030" xr:uid="{00000000-0005-0000-0000-00007E190000}"/>
    <cellStyle name="Normal 4 4 2 3 2 2 3 2 3" xfId="7031" xr:uid="{00000000-0005-0000-0000-00007F190000}"/>
    <cellStyle name="Normal 4 4 2 3 2 2 3 3" xfId="7032" xr:uid="{00000000-0005-0000-0000-000080190000}"/>
    <cellStyle name="Normal 4 4 2 3 2 2 3 4" xfId="7033" xr:uid="{00000000-0005-0000-0000-000081190000}"/>
    <cellStyle name="Normal 4 4 2 3 2 2 3 5" xfId="7034" xr:uid="{00000000-0005-0000-0000-000082190000}"/>
    <cellStyle name="Normal 4 4 2 3 2 2 4" xfId="7035" xr:uid="{00000000-0005-0000-0000-000083190000}"/>
    <cellStyle name="Normal 4 4 2 3 2 2 4 2" xfId="7036" xr:uid="{00000000-0005-0000-0000-000084190000}"/>
    <cellStyle name="Normal 4 4 2 3 2 2 4 3" xfId="7037" xr:uid="{00000000-0005-0000-0000-000085190000}"/>
    <cellStyle name="Normal 4 4 2 3 2 2 5" xfId="7038" xr:uid="{00000000-0005-0000-0000-000086190000}"/>
    <cellStyle name="Normal 4 4 2 3 2 2 6" xfId="7039" xr:uid="{00000000-0005-0000-0000-000087190000}"/>
    <cellStyle name="Normal 4 4 2 3 2 2 7" xfId="7040" xr:uid="{00000000-0005-0000-0000-000088190000}"/>
    <cellStyle name="Normal 4 4 2 3 2 3" xfId="7041" xr:uid="{00000000-0005-0000-0000-000089190000}"/>
    <cellStyle name="Normal 4 4 2 3 2 3 2" xfId="7042" xr:uid="{00000000-0005-0000-0000-00008A190000}"/>
    <cellStyle name="Normal 4 4 2 3 2 3 2 2" xfId="7043" xr:uid="{00000000-0005-0000-0000-00008B190000}"/>
    <cellStyle name="Normal 4 4 2 3 2 3 2 3" xfId="7044" xr:uid="{00000000-0005-0000-0000-00008C190000}"/>
    <cellStyle name="Normal 4 4 2 3 2 3 3" xfId="7045" xr:uid="{00000000-0005-0000-0000-00008D190000}"/>
    <cellStyle name="Normal 4 4 2 3 2 3 4" xfId="7046" xr:uid="{00000000-0005-0000-0000-00008E190000}"/>
    <cellStyle name="Normal 4 4 2 3 2 3 5" xfId="7047" xr:uid="{00000000-0005-0000-0000-00008F190000}"/>
    <cellStyle name="Normal 4 4 2 3 2 4" xfId="7048" xr:uid="{00000000-0005-0000-0000-000090190000}"/>
    <cellStyle name="Normal 4 4 2 3 2 4 2" xfId="7049" xr:uid="{00000000-0005-0000-0000-000091190000}"/>
    <cellStyle name="Normal 4 4 2 3 2 4 2 2" xfId="7050" xr:uid="{00000000-0005-0000-0000-000092190000}"/>
    <cellStyle name="Normal 4 4 2 3 2 4 2 3" xfId="7051" xr:uid="{00000000-0005-0000-0000-000093190000}"/>
    <cellStyle name="Normal 4 4 2 3 2 4 3" xfId="7052" xr:uid="{00000000-0005-0000-0000-000094190000}"/>
    <cellStyle name="Normal 4 4 2 3 2 4 4" xfId="7053" xr:uid="{00000000-0005-0000-0000-000095190000}"/>
    <cellStyle name="Normal 4 4 2 3 2 4 5" xfId="7054" xr:uid="{00000000-0005-0000-0000-000096190000}"/>
    <cellStyle name="Normal 4 4 2 3 2 5" xfId="7055" xr:uid="{00000000-0005-0000-0000-000097190000}"/>
    <cellStyle name="Normal 4 4 2 3 2 5 2" xfId="7056" xr:uid="{00000000-0005-0000-0000-000098190000}"/>
    <cellStyle name="Normal 4 4 2 3 2 5 3" xfId="7057" xr:uid="{00000000-0005-0000-0000-000099190000}"/>
    <cellStyle name="Normal 4 4 2 3 2 6" xfId="7058" xr:uid="{00000000-0005-0000-0000-00009A190000}"/>
    <cellStyle name="Normal 4 4 2 3 2 7" xfId="7059" xr:uid="{00000000-0005-0000-0000-00009B190000}"/>
    <cellStyle name="Normal 4 4 2 3 2 8" xfId="7060" xr:uid="{00000000-0005-0000-0000-00009C190000}"/>
    <cellStyle name="Normal 4 4 2 3 3" xfId="7061" xr:uid="{00000000-0005-0000-0000-00009D190000}"/>
    <cellStyle name="Normal 4 4 2 3 3 2" xfId="7062" xr:uid="{00000000-0005-0000-0000-00009E190000}"/>
    <cellStyle name="Normal 4 4 2 3 3 2 2" xfId="7063" xr:uid="{00000000-0005-0000-0000-00009F190000}"/>
    <cellStyle name="Normal 4 4 2 3 3 2 2 2" xfId="7064" xr:uid="{00000000-0005-0000-0000-0000A0190000}"/>
    <cellStyle name="Normal 4 4 2 3 3 2 2 3" xfId="7065" xr:uid="{00000000-0005-0000-0000-0000A1190000}"/>
    <cellStyle name="Normal 4 4 2 3 3 2 3" xfId="7066" xr:uid="{00000000-0005-0000-0000-0000A2190000}"/>
    <cellStyle name="Normal 4 4 2 3 3 2 4" xfId="7067" xr:uid="{00000000-0005-0000-0000-0000A3190000}"/>
    <cellStyle name="Normal 4 4 2 3 3 2 5" xfId="7068" xr:uid="{00000000-0005-0000-0000-0000A4190000}"/>
    <cellStyle name="Normal 4 4 2 3 3 3" xfId="7069" xr:uid="{00000000-0005-0000-0000-0000A5190000}"/>
    <cellStyle name="Normal 4 4 2 3 3 3 2" xfId="7070" xr:uid="{00000000-0005-0000-0000-0000A6190000}"/>
    <cellStyle name="Normal 4 4 2 3 3 3 2 2" xfId="7071" xr:uid="{00000000-0005-0000-0000-0000A7190000}"/>
    <cellStyle name="Normal 4 4 2 3 3 3 2 3" xfId="7072" xr:uid="{00000000-0005-0000-0000-0000A8190000}"/>
    <cellStyle name="Normal 4 4 2 3 3 3 3" xfId="7073" xr:uid="{00000000-0005-0000-0000-0000A9190000}"/>
    <cellStyle name="Normal 4 4 2 3 3 3 4" xfId="7074" xr:uid="{00000000-0005-0000-0000-0000AA190000}"/>
    <cellStyle name="Normal 4 4 2 3 3 3 5" xfId="7075" xr:uid="{00000000-0005-0000-0000-0000AB190000}"/>
    <cellStyle name="Normal 4 4 2 3 3 4" xfId="7076" xr:uid="{00000000-0005-0000-0000-0000AC190000}"/>
    <cellStyle name="Normal 4 4 2 3 3 4 2" xfId="7077" xr:uid="{00000000-0005-0000-0000-0000AD190000}"/>
    <cellStyle name="Normal 4 4 2 3 3 4 3" xfId="7078" xr:uid="{00000000-0005-0000-0000-0000AE190000}"/>
    <cellStyle name="Normal 4 4 2 3 3 5" xfId="7079" xr:uid="{00000000-0005-0000-0000-0000AF190000}"/>
    <cellStyle name="Normal 4 4 2 3 3 6" xfId="7080" xr:uid="{00000000-0005-0000-0000-0000B0190000}"/>
    <cellStyle name="Normal 4 4 2 3 3 7" xfId="7081" xr:uid="{00000000-0005-0000-0000-0000B1190000}"/>
    <cellStyle name="Normal 4 4 2 3 4" xfId="7082" xr:uid="{00000000-0005-0000-0000-0000B2190000}"/>
    <cellStyle name="Normal 4 4 2 3 4 2" xfId="7083" xr:uid="{00000000-0005-0000-0000-0000B3190000}"/>
    <cellStyle name="Normal 4 4 2 3 4 2 2" xfId="7084" xr:uid="{00000000-0005-0000-0000-0000B4190000}"/>
    <cellStyle name="Normal 4 4 2 3 4 2 3" xfId="7085" xr:uid="{00000000-0005-0000-0000-0000B5190000}"/>
    <cellStyle name="Normal 4 4 2 3 4 3" xfId="7086" xr:uid="{00000000-0005-0000-0000-0000B6190000}"/>
    <cellStyle name="Normal 4 4 2 3 4 4" xfId="7087" xr:uid="{00000000-0005-0000-0000-0000B7190000}"/>
    <cellStyle name="Normal 4 4 2 3 4 5" xfId="7088" xr:uid="{00000000-0005-0000-0000-0000B8190000}"/>
    <cellStyle name="Normal 4 4 2 3 5" xfId="7089" xr:uid="{00000000-0005-0000-0000-0000B9190000}"/>
    <cellStyle name="Normal 4 4 2 3 5 2" xfId="7090" xr:uid="{00000000-0005-0000-0000-0000BA190000}"/>
    <cellStyle name="Normal 4 4 2 3 5 2 2" xfId="7091" xr:uid="{00000000-0005-0000-0000-0000BB190000}"/>
    <cellStyle name="Normal 4 4 2 3 5 2 3" xfId="7092" xr:uid="{00000000-0005-0000-0000-0000BC190000}"/>
    <cellStyle name="Normal 4 4 2 3 5 3" xfId="7093" xr:uid="{00000000-0005-0000-0000-0000BD190000}"/>
    <cellStyle name="Normal 4 4 2 3 5 4" xfId="7094" xr:uid="{00000000-0005-0000-0000-0000BE190000}"/>
    <cellStyle name="Normal 4 4 2 3 5 5" xfId="7095" xr:uid="{00000000-0005-0000-0000-0000BF190000}"/>
    <cellStyle name="Normal 4 4 2 3 6" xfId="7096" xr:uid="{00000000-0005-0000-0000-0000C0190000}"/>
    <cellStyle name="Normal 4 4 2 3 6 2" xfId="7097" xr:uid="{00000000-0005-0000-0000-0000C1190000}"/>
    <cellStyle name="Normal 4 4 2 3 6 3" xfId="7098" xr:uid="{00000000-0005-0000-0000-0000C2190000}"/>
    <cellStyle name="Normal 4 4 2 3 7" xfId="7099" xr:uid="{00000000-0005-0000-0000-0000C3190000}"/>
    <cellStyle name="Normal 4 4 2 3 8" xfId="7100" xr:uid="{00000000-0005-0000-0000-0000C4190000}"/>
    <cellStyle name="Normal 4 4 2 3 9" xfId="7101" xr:uid="{00000000-0005-0000-0000-0000C5190000}"/>
    <cellStyle name="Normal 4 4 2 4" xfId="7102" xr:uid="{00000000-0005-0000-0000-0000C6190000}"/>
    <cellStyle name="Normal 4 4 2 4 2" xfId="7103" xr:uid="{00000000-0005-0000-0000-0000C7190000}"/>
    <cellStyle name="Normal 4 4 2 4 2 2" xfId="7104" xr:uid="{00000000-0005-0000-0000-0000C8190000}"/>
    <cellStyle name="Normal 4 4 2 4 2 2 2" xfId="7105" xr:uid="{00000000-0005-0000-0000-0000C9190000}"/>
    <cellStyle name="Normal 4 4 2 4 2 2 2 2" xfId="7106" xr:uid="{00000000-0005-0000-0000-0000CA190000}"/>
    <cellStyle name="Normal 4 4 2 4 2 2 2 2 2" xfId="7107" xr:uid="{00000000-0005-0000-0000-0000CB190000}"/>
    <cellStyle name="Normal 4 4 2 4 2 2 2 2 3" xfId="7108" xr:uid="{00000000-0005-0000-0000-0000CC190000}"/>
    <cellStyle name="Normal 4 4 2 4 2 2 2 3" xfId="7109" xr:uid="{00000000-0005-0000-0000-0000CD190000}"/>
    <cellStyle name="Normal 4 4 2 4 2 2 2 4" xfId="7110" xr:uid="{00000000-0005-0000-0000-0000CE190000}"/>
    <cellStyle name="Normal 4 4 2 4 2 2 2 5" xfId="7111" xr:uid="{00000000-0005-0000-0000-0000CF190000}"/>
    <cellStyle name="Normal 4 4 2 4 2 2 3" xfId="7112" xr:uid="{00000000-0005-0000-0000-0000D0190000}"/>
    <cellStyle name="Normal 4 4 2 4 2 2 3 2" xfId="7113" xr:uid="{00000000-0005-0000-0000-0000D1190000}"/>
    <cellStyle name="Normal 4 4 2 4 2 2 3 2 2" xfId="7114" xr:uid="{00000000-0005-0000-0000-0000D2190000}"/>
    <cellStyle name="Normal 4 4 2 4 2 2 3 2 3" xfId="7115" xr:uid="{00000000-0005-0000-0000-0000D3190000}"/>
    <cellStyle name="Normal 4 4 2 4 2 2 3 3" xfId="7116" xr:uid="{00000000-0005-0000-0000-0000D4190000}"/>
    <cellStyle name="Normal 4 4 2 4 2 2 3 4" xfId="7117" xr:uid="{00000000-0005-0000-0000-0000D5190000}"/>
    <cellStyle name="Normal 4 4 2 4 2 2 3 5" xfId="7118" xr:uid="{00000000-0005-0000-0000-0000D6190000}"/>
    <cellStyle name="Normal 4 4 2 4 2 2 4" xfId="7119" xr:uid="{00000000-0005-0000-0000-0000D7190000}"/>
    <cellStyle name="Normal 4 4 2 4 2 2 4 2" xfId="7120" xr:uid="{00000000-0005-0000-0000-0000D8190000}"/>
    <cellStyle name="Normal 4 4 2 4 2 2 4 3" xfId="7121" xr:uid="{00000000-0005-0000-0000-0000D9190000}"/>
    <cellStyle name="Normal 4 4 2 4 2 2 5" xfId="7122" xr:uid="{00000000-0005-0000-0000-0000DA190000}"/>
    <cellStyle name="Normal 4 4 2 4 2 2 6" xfId="7123" xr:uid="{00000000-0005-0000-0000-0000DB190000}"/>
    <cellStyle name="Normal 4 4 2 4 2 2 7" xfId="7124" xr:uid="{00000000-0005-0000-0000-0000DC190000}"/>
    <cellStyle name="Normal 4 4 2 4 2 3" xfId="7125" xr:uid="{00000000-0005-0000-0000-0000DD190000}"/>
    <cellStyle name="Normal 4 4 2 4 2 3 2" xfId="7126" xr:uid="{00000000-0005-0000-0000-0000DE190000}"/>
    <cellStyle name="Normal 4 4 2 4 2 3 2 2" xfId="7127" xr:uid="{00000000-0005-0000-0000-0000DF190000}"/>
    <cellStyle name="Normal 4 4 2 4 2 3 2 3" xfId="7128" xr:uid="{00000000-0005-0000-0000-0000E0190000}"/>
    <cellStyle name="Normal 4 4 2 4 2 3 3" xfId="7129" xr:uid="{00000000-0005-0000-0000-0000E1190000}"/>
    <cellStyle name="Normal 4 4 2 4 2 3 4" xfId="7130" xr:uid="{00000000-0005-0000-0000-0000E2190000}"/>
    <cellStyle name="Normal 4 4 2 4 2 3 5" xfId="7131" xr:uid="{00000000-0005-0000-0000-0000E3190000}"/>
    <cellStyle name="Normal 4 4 2 4 2 4" xfId="7132" xr:uid="{00000000-0005-0000-0000-0000E4190000}"/>
    <cellStyle name="Normal 4 4 2 4 2 4 2" xfId="7133" xr:uid="{00000000-0005-0000-0000-0000E5190000}"/>
    <cellStyle name="Normal 4 4 2 4 2 4 2 2" xfId="7134" xr:uid="{00000000-0005-0000-0000-0000E6190000}"/>
    <cellStyle name="Normal 4 4 2 4 2 4 2 3" xfId="7135" xr:uid="{00000000-0005-0000-0000-0000E7190000}"/>
    <cellStyle name="Normal 4 4 2 4 2 4 3" xfId="7136" xr:uid="{00000000-0005-0000-0000-0000E8190000}"/>
    <cellStyle name="Normal 4 4 2 4 2 4 4" xfId="7137" xr:uid="{00000000-0005-0000-0000-0000E9190000}"/>
    <cellStyle name="Normal 4 4 2 4 2 4 5" xfId="7138" xr:uid="{00000000-0005-0000-0000-0000EA190000}"/>
    <cellStyle name="Normal 4 4 2 4 2 5" xfId="7139" xr:uid="{00000000-0005-0000-0000-0000EB190000}"/>
    <cellStyle name="Normal 4 4 2 4 2 5 2" xfId="7140" xr:uid="{00000000-0005-0000-0000-0000EC190000}"/>
    <cellStyle name="Normal 4 4 2 4 2 5 3" xfId="7141" xr:uid="{00000000-0005-0000-0000-0000ED190000}"/>
    <cellStyle name="Normal 4 4 2 4 2 6" xfId="7142" xr:uid="{00000000-0005-0000-0000-0000EE190000}"/>
    <cellStyle name="Normal 4 4 2 4 2 7" xfId="7143" xr:uid="{00000000-0005-0000-0000-0000EF190000}"/>
    <cellStyle name="Normal 4 4 2 4 2 8" xfId="7144" xr:uid="{00000000-0005-0000-0000-0000F0190000}"/>
    <cellStyle name="Normal 4 4 2 4 3" xfId="7145" xr:uid="{00000000-0005-0000-0000-0000F1190000}"/>
    <cellStyle name="Normal 4 4 2 4 3 2" xfId="7146" xr:uid="{00000000-0005-0000-0000-0000F2190000}"/>
    <cellStyle name="Normal 4 4 2 4 3 2 2" xfId="7147" xr:uid="{00000000-0005-0000-0000-0000F3190000}"/>
    <cellStyle name="Normal 4 4 2 4 3 2 2 2" xfId="7148" xr:uid="{00000000-0005-0000-0000-0000F4190000}"/>
    <cellStyle name="Normal 4 4 2 4 3 2 2 3" xfId="7149" xr:uid="{00000000-0005-0000-0000-0000F5190000}"/>
    <cellStyle name="Normal 4 4 2 4 3 2 3" xfId="7150" xr:uid="{00000000-0005-0000-0000-0000F6190000}"/>
    <cellStyle name="Normal 4 4 2 4 3 2 4" xfId="7151" xr:uid="{00000000-0005-0000-0000-0000F7190000}"/>
    <cellStyle name="Normal 4 4 2 4 3 2 5" xfId="7152" xr:uid="{00000000-0005-0000-0000-0000F8190000}"/>
    <cellStyle name="Normal 4 4 2 4 3 3" xfId="7153" xr:uid="{00000000-0005-0000-0000-0000F9190000}"/>
    <cellStyle name="Normal 4 4 2 4 3 3 2" xfId="7154" xr:uid="{00000000-0005-0000-0000-0000FA190000}"/>
    <cellStyle name="Normal 4 4 2 4 3 3 2 2" xfId="7155" xr:uid="{00000000-0005-0000-0000-0000FB190000}"/>
    <cellStyle name="Normal 4 4 2 4 3 3 2 3" xfId="7156" xr:uid="{00000000-0005-0000-0000-0000FC190000}"/>
    <cellStyle name="Normal 4 4 2 4 3 3 3" xfId="7157" xr:uid="{00000000-0005-0000-0000-0000FD190000}"/>
    <cellStyle name="Normal 4 4 2 4 3 3 4" xfId="7158" xr:uid="{00000000-0005-0000-0000-0000FE190000}"/>
    <cellStyle name="Normal 4 4 2 4 3 3 5" xfId="7159" xr:uid="{00000000-0005-0000-0000-0000FF190000}"/>
    <cellStyle name="Normal 4 4 2 4 3 4" xfId="7160" xr:uid="{00000000-0005-0000-0000-0000001A0000}"/>
    <cellStyle name="Normal 4 4 2 4 3 4 2" xfId="7161" xr:uid="{00000000-0005-0000-0000-0000011A0000}"/>
    <cellStyle name="Normal 4 4 2 4 3 4 3" xfId="7162" xr:uid="{00000000-0005-0000-0000-0000021A0000}"/>
    <cellStyle name="Normal 4 4 2 4 3 5" xfId="7163" xr:uid="{00000000-0005-0000-0000-0000031A0000}"/>
    <cellStyle name="Normal 4 4 2 4 3 6" xfId="7164" xr:uid="{00000000-0005-0000-0000-0000041A0000}"/>
    <cellStyle name="Normal 4 4 2 4 3 7" xfId="7165" xr:uid="{00000000-0005-0000-0000-0000051A0000}"/>
    <cellStyle name="Normal 4 4 2 4 4" xfId="7166" xr:uid="{00000000-0005-0000-0000-0000061A0000}"/>
    <cellStyle name="Normal 4 4 2 4 4 2" xfId="7167" xr:uid="{00000000-0005-0000-0000-0000071A0000}"/>
    <cellStyle name="Normal 4 4 2 4 4 2 2" xfId="7168" xr:uid="{00000000-0005-0000-0000-0000081A0000}"/>
    <cellStyle name="Normal 4 4 2 4 4 2 3" xfId="7169" xr:uid="{00000000-0005-0000-0000-0000091A0000}"/>
    <cellStyle name="Normal 4 4 2 4 4 3" xfId="7170" xr:uid="{00000000-0005-0000-0000-00000A1A0000}"/>
    <cellStyle name="Normal 4 4 2 4 4 4" xfId="7171" xr:uid="{00000000-0005-0000-0000-00000B1A0000}"/>
    <cellStyle name="Normal 4 4 2 4 4 5" xfId="7172" xr:uid="{00000000-0005-0000-0000-00000C1A0000}"/>
    <cellStyle name="Normal 4 4 2 4 5" xfId="7173" xr:uid="{00000000-0005-0000-0000-00000D1A0000}"/>
    <cellStyle name="Normal 4 4 2 4 5 2" xfId="7174" xr:uid="{00000000-0005-0000-0000-00000E1A0000}"/>
    <cellStyle name="Normal 4 4 2 4 5 2 2" xfId="7175" xr:uid="{00000000-0005-0000-0000-00000F1A0000}"/>
    <cellStyle name="Normal 4 4 2 4 5 2 3" xfId="7176" xr:uid="{00000000-0005-0000-0000-0000101A0000}"/>
    <cellStyle name="Normal 4 4 2 4 5 3" xfId="7177" xr:uid="{00000000-0005-0000-0000-0000111A0000}"/>
    <cellStyle name="Normal 4 4 2 4 5 4" xfId="7178" xr:uid="{00000000-0005-0000-0000-0000121A0000}"/>
    <cellStyle name="Normal 4 4 2 4 5 5" xfId="7179" xr:uid="{00000000-0005-0000-0000-0000131A0000}"/>
    <cellStyle name="Normal 4 4 2 4 6" xfId="7180" xr:uid="{00000000-0005-0000-0000-0000141A0000}"/>
    <cellStyle name="Normal 4 4 2 4 6 2" xfId="7181" xr:uid="{00000000-0005-0000-0000-0000151A0000}"/>
    <cellStyle name="Normal 4 4 2 4 6 3" xfId="7182" xr:uid="{00000000-0005-0000-0000-0000161A0000}"/>
    <cellStyle name="Normal 4 4 2 4 7" xfId="7183" xr:uid="{00000000-0005-0000-0000-0000171A0000}"/>
    <cellStyle name="Normal 4 4 2 4 8" xfId="7184" xr:uid="{00000000-0005-0000-0000-0000181A0000}"/>
    <cellStyle name="Normal 4 4 2 4 9" xfId="7185" xr:uid="{00000000-0005-0000-0000-0000191A0000}"/>
    <cellStyle name="Normal 4 4 2 5" xfId="7186" xr:uid="{00000000-0005-0000-0000-00001A1A0000}"/>
    <cellStyle name="Normal 4 4 2 5 2" xfId="7187" xr:uid="{00000000-0005-0000-0000-00001B1A0000}"/>
    <cellStyle name="Normal 4 4 2 5 2 2" xfId="7188" xr:uid="{00000000-0005-0000-0000-00001C1A0000}"/>
    <cellStyle name="Normal 4 4 2 5 2 2 2" xfId="7189" xr:uid="{00000000-0005-0000-0000-00001D1A0000}"/>
    <cellStyle name="Normal 4 4 2 5 2 2 2 2" xfId="7190" xr:uid="{00000000-0005-0000-0000-00001E1A0000}"/>
    <cellStyle name="Normal 4 4 2 5 2 2 2 3" xfId="7191" xr:uid="{00000000-0005-0000-0000-00001F1A0000}"/>
    <cellStyle name="Normal 4 4 2 5 2 2 3" xfId="7192" xr:uid="{00000000-0005-0000-0000-0000201A0000}"/>
    <cellStyle name="Normal 4 4 2 5 2 2 4" xfId="7193" xr:uid="{00000000-0005-0000-0000-0000211A0000}"/>
    <cellStyle name="Normal 4 4 2 5 2 2 5" xfId="7194" xr:uid="{00000000-0005-0000-0000-0000221A0000}"/>
    <cellStyle name="Normal 4 4 2 5 2 3" xfId="7195" xr:uid="{00000000-0005-0000-0000-0000231A0000}"/>
    <cellStyle name="Normal 4 4 2 5 2 3 2" xfId="7196" xr:uid="{00000000-0005-0000-0000-0000241A0000}"/>
    <cellStyle name="Normal 4 4 2 5 2 3 2 2" xfId="7197" xr:uid="{00000000-0005-0000-0000-0000251A0000}"/>
    <cellStyle name="Normal 4 4 2 5 2 3 2 3" xfId="7198" xr:uid="{00000000-0005-0000-0000-0000261A0000}"/>
    <cellStyle name="Normal 4 4 2 5 2 3 3" xfId="7199" xr:uid="{00000000-0005-0000-0000-0000271A0000}"/>
    <cellStyle name="Normal 4 4 2 5 2 3 4" xfId="7200" xr:uid="{00000000-0005-0000-0000-0000281A0000}"/>
    <cellStyle name="Normal 4 4 2 5 2 3 5" xfId="7201" xr:uid="{00000000-0005-0000-0000-0000291A0000}"/>
    <cellStyle name="Normal 4 4 2 5 2 4" xfId="7202" xr:uid="{00000000-0005-0000-0000-00002A1A0000}"/>
    <cellStyle name="Normal 4 4 2 5 2 4 2" xfId="7203" xr:uid="{00000000-0005-0000-0000-00002B1A0000}"/>
    <cellStyle name="Normal 4 4 2 5 2 4 3" xfId="7204" xr:uid="{00000000-0005-0000-0000-00002C1A0000}"/>
    <cellStyle name="Normal 4 4 2 5 2 5" xfId="7205" xr:uid="{00000000-0005-0000-0000-00002D1A0000}"/>
    <cellStyle name="Normal 4 4 2 5 2 6" xfId="7206" xr:uid="{00000000-0005-0000-0000-00002E1A0000}"/>
    <cellStyle name="Normal 4 4 2 5 2 7" xfId="7207" xr:uid="{00000000-0005-0000-0000-00002F1A0000}"/>
    <cellStyle name="Normal 4 4 2 5 3" xfId="7208" xr:uid="{00000000-0005-0000-0000-0000301A0000}"/>
    <cellStyle name="Normal 4 4 2 5 3 2" xfId="7209" xr:uid="{00000000-0005-0000-0000-0000311A0000}"/>
    <cellStyle name="Normal 4 4 2 5 3 2 2" xfId="7210" xr:uid="{00000000-0005-0000-0000-0000321A0000}"/>
    <cellStyle name="Normal 4 4 2 5 3 2 3" xfId="7211" xr:uid="{00000000-0005-0000-0000-0000331A0000}"/>
    <cellStyle name="Normal 4 4 2 5 3 3" xfId="7212" xr:uid="{00000000-0005-0000-0000-0000341A0000}"/>
    <cellStyle name="Normal 4 4 2 5 3 4" xfId="7213" xr:uid="{00000000-0005-0000-0000-0000351A0000}"/>
    <cellStyle name="Normal 4 4 2 5 3 5" xfId="7214" xr:uid="{00000000-0005-0000-0000-0000361A0000}"/>
    <cellStyle name="Normal 4 4 2 5 4" xfId="7215" xr:uid="{00000000-0005-0000-0000-0000371A0000}"/>
    <cellStyle name="Normal 4 4 2 5 4 2" xfId="7216" xr:uid="{00000000-0005-0000-0000-0000381A0000}"/>
    <cellStyle name="Normal 4 4 2 5 4 2 2" xfId="7217" xr:uid="{00000000-0005-0000-0000-0000391A0000}"/>
    <cellStyle name="Normal 4 4 2 5 4 2 3" xfId="7218" xr:uid="{00000000-0005-0000-0000-00003A1A0000}"/>
    <cellStyle name="Normal 4 4 2 5 4 3" xfId="7219" xr:uid="{00000000-0005-0000-0000-00003B1A0000}"/>
    <cellStyle name="Normal 4 4 2 5 4 4" xfId="7220" xr:uid="{00000000-0005-0000-0000-00003C1A0000}"/>
    <cellStyle name="Normal 4 4 2 5 4 5" xfId="7221" xr:uid="{00000000-0005-0000-0000-00003D1A0000}"/>
    <cellStyle name="Normal 4 4 2 5 5" xfId="7222" xr:uid="{00000000-0005-0000-0000-00003E1A0000}"/>
    <cellStyle name="Normal 4 4 2 5 5 2" xfId="7223" xr:uid="{00000000-0005-0000-0000-00003F1A0000}"/>
    <cellStyle name="Normal 4 4 2 5 5 3" xfId="7224" xr:uid="{00000000-0005-0000-0000-0000401A0000}"/>
    <cellStyle name="Normal 4 4 2 5 6" xfId="7225" xr:uid="{00000000-0005-0000-0000-0000411A0000}"/>
    <cellStyle name="Normal 4 4 2 5 7" xfId="7226" xr:uid="{00000000-0005-0000-0000-0000421A0000}"/>
    <cellStyle name="Normal 4 4 2 5 8" xfId="7227" xr:uid="{00000000-0005-0000-0000-0000431A0000}"/>
    <cellStyle name="Normal 4 4 2 6" xfId="7228" xr:uid="{00000000-0005-0000-0000-0000441A0000}"/>
    <cellStyle name="Normal 4 4 2 6 2" xfId="7229" xr:uid="{00000000-0005-0000-0000-0000451A0000}"/>
    <cellStyle name="Normal 4 4 2 6 2 2" xfId="7230" xr:uid="{00000000-0005-0000-0000-0000461A0000}"/>
    <cellStyle name="Normal 4 4 2 6 2 2 2" xfId="7231" xr:uid="{00000000-0005-0000-0000-0000471A0000}"/>
    <cellStyle name="Normal 4 4 2 6 2 2 3" xfId="7232" xr:uid="{00000000-0005-0000-0000-0000481A0000}"/>
    <cellStyle name="Normal 4 4 2 6 2 3" xfId="7233" xr:uid="{00000000-0005-0000-0000-0000491A0000}"/>
    <cellStyle name="Normal 4 4 2 6 2 4" xfId="7234" xr:uid="{00000000-0005-0000-0000-00004A1A0000}"/>
    <cellStyle name="Normal 4 4 2 6 2 5" xfId="7235" xr:uid="{00000000-0005-0000-0000-00004B1A0000}"/>
    <cellStyle name="Normal 4 4 2 6 3" xfId="7236" xr:uid="{00000000-0005-0000-0000-00004C1A0000}"/>
    <cellStyle name="Normal 4 4 2 6 3 2" xfId="7237" xr:uid="{00000000-0005-0000-0000-00004D1A0000}"/>
    <cellStyle name="Normal 4 4 2 6 3 2 2" xfId="7238" xr:uid="{00000000-0005-0000-0000-00004E1A0000}"/>
    <cellStyle name="Normal 4 4 2 6 3 2 3" xfId="7239" xr:uid="{00000000-0005-0000-0000-00004F1A0000}"/>
    <cellStyle name="Normal 4 4 2 6 3 3" xfId="7240" xr:uid="{00000000-0005-0000-0000-0000501A0000}"/>
    <cellStyle name="Normal 4 4 2 6 3 4" xfId="7241" xr:uid="{00000000-0005-0000-0000-0000511A0000}"/>
    <cellStyle name="Normal 4 4 2 6 3 5" xfId="7242" xr:uid="{00000000-0005-0000-0000-0000521A0000}"/>
    <cellStyle name="Normal 4 4 2 6 4" xfId="7243" xr:uid="{00000000-0005-0000-0000-0000531A0000}"/>
    <cellStyle name="Normal 4 4 2 6 4 2" xfId="7244" xr:uid="{00000000-0005-0000-0000-0000541A0000}"/>
    <cellStyle name="Normal 4 4 2 6 4 3" xfId="7245" xr:uid="{00000000-0005-0000-0000-0000551A0000}"/>
    <cellStyle name="Normal 4 4 2 6 5" xfId="7246" xr:uid="{00000000-0005-0000-0000-0000561A0000}"/>
    <cellStyle name="Normal 4 4 2 6 6" xfId="7247" xr:uid="{00000000-0005-0000-0000-0000571A0000}"/>
    <cellStyle name="Normal 4 4 2 6 7" xfId="7248" xr:uid="{00000000-0005-0000-0000-0000581A0000}"/>
    <cellStyle name="Normal 4 4 2 7" xfId="7249" xr:uid="{00000000-0005-0000-0000-0000591A0000}"/>
    <cellStyle name="Normal 4 4 2 7 2" xfId="7250" xr:uid="{00000000-0005-0000-0000-00005A1A0000}"/>
    <cellStyle name="Normal 4 4 2 7 2 2" xfId="7251" xr:uid="{00000000-0005-0000-0000-00005B1A0000}"/>
    <cellStyle name="Normal 4 4 2 7 2 2 2" xfId="7252" xr:uid="{00000000-0005-0000-0000-00005C1A0000}"/>
    <cellStyle name="Normal 4 4 2 7 2 2 3" xfId="7253" xr:uid="{00000000-0005-0000-0000-00005D1A0000}"/>
    <cellStyle name="Normal 4 4 2 7 2 3" xfId="7254" xr:uid="{00000000-0005-0000-0000-00005E1A0000}"/>
    <cellStyle name="Normal 4 4 2 7 2 4" xfId="7255" xr:uid="{00000000-0005-0000-0000-00005F1A0000}"/>
    <cellStyle name="Normal 4 4 2 7 2 5" xfId="7256" xr:uid="{00000000-0005-0000-0000-0000601A0000}"/>
    <cellStyle name="Normal 4 4 2 7 3" xfId="7257" xr:uid="{00000000-0005-0000-0000-0000611A0000}"/>
    <cellStyle name="Normal 4 4 2 7 3 2" xfId="7258" xr:uid="{00000000-0005-0000-0000-0000621A0000}"/>
    <cellStyle name="Normal 4 4 2 7 3 2 2" xfId="7259" xr:uid="{00000000-0005-0000-0000-0000631A0000}"/>
    <cellStyle name="Normal 4 4 2 7 3 2 3" xfId="7260" xr:uid="{00000000-0005-0000-0000-0000641A0000}"/>
    <cellStyle name="Normal 4 4 2 7 3 3" xfId="7261" xr:uid="{00000000-0005-0000-0000-0000651A0000}"/>
    <cellStyle name="Normal 4 4 2 7 3 4" xfId="7262" xr:uid="{00000000-0005-0000-0000-0000661A0000}"/>
    <cellStyle name="Normal 4 4 2 7 3 5" xfId="7263" xr:uid="{00000000-0005-0000-0000-0000671A0000}"/>
    <cellStyle name="Normal 4 4 2 7 4" xfId="7264" xr:uid="{00000000-0005-0000-0000-0000681A0000}"/>
    <cellStyle name="Normal 4 4 2 7 4 2" xfId="7265" xr:uid="{00000000-0005-0000-0000-0000691A0000}"/>
    <cellStyle name="Normal 4 4 2 7 4 3" xfId="7266" xr:uid="{00000000-0005-0000-0000-00006A1A0000}"/>
    <cellStyle name="Normal 4 4 2 7 5" xfId="7267" xr:uid="{00000000-0005-0000-0000-00006B1A0000}"/>
    <cellStyle name="Normal 4 4 2 7 6" xfId="7268" xr:uid="{00000000-0005-0000-0000-00006C1A0000}"/>
    <cellStyle name="Normal 4 4 2 7 7" xfId="7269" xr:uid="{00000000-0005-0000-0000-00006D1A0000}"/>
    <cellStyle name="Normal 4 4 2 8" xfId="7270" xr:uid="{00000000-0005-0000-0000-00006E1A0000}"/>
    <cellStyle name="Normal 4 4 2 8 2" xfId="7271" xr:uid="{00000000-0005-0000-0000-00006F1A0000}"/>
    <cellStyle name="Normal 4 4 2 8 2 2" xfId="7272" xr:uid="{00000000-0005-0000-0000-0000701A0000}"/>
    <cellStyle name="Normal 4 4 2 8 2 3" xfId="7273" xr:uid="{00000000-0005-0000-0000-0000711A0000}"/>
    <cellStyle name="Normal 4 4 2 8 3" xfId="7274" xr:uid="{00000000-0005-0000-0000-0000721A0000}"/>
    <cellStyle name="Normal 4 4 2 8 4" xfId="7275" xr:uid="{00000000-0005-0000-0000-0000731A0000}"/>
    <cellStyle name="Normal 4 4 2 8 5" xfId="7276" xr:uid="{00000000-0005-0000-0000-0000741A0000}"/>
    <cellStyle name="Normal 4 4 2 9" xfId="7277" xr:uid="{00000000-0005-0000-0000-0000751A0000}"/>
    <cellStyle name="Normal 4 4 2 9 2" xfId="7278" xr:uid="{00000000-0005-0000-0000-0000761A0000}"/>
    <cellStyle name="Normal 4 4 2 9 2 2" xfId="7279" xr:uid="{00000000-0005-0000-0000-0000771A0000}"/>
    <cellStyle name="Normal 4 4 2 9 2 3" xfId="7280" xr:uid="{00000000-0005-0000-0000-0000781A0000}"/>
    <cellStyle name="Normal 4 4 2 9 3" xfId="7281" xr:uid="{00000000-0005-0000-0000-0000791A0000}"/>
    <cellStyle name="Normal 4 4 2 9 4" xfId="7282" xr:uid="{00000000-0005-0000-0000-00007A1A0000}"/>
    <cellStyle name="Normal 4 4 2 9 5" xfId="7283" xr:uid="{00000000-0005-0000-0000-00007B1A0000}"/>
    <cellStyle name="Normal 4 4 3" xfId="7284" xr:uid="{00000000-0005-0000-0000-00007C1A0000}"/>
    <cellStyle name="Normal 4 4 3 2" xfId="7285" xr:uid="{00000000-0005-0000-0000-00007D1A0000}"/>
    <cellStyle name="Normal 4 4 3 2 2" xfId="7286" xr:uid="{00000000-0005-0000-0000-00007E1A0000}"/>
    <cellStyle name="Normal 4 4 3 2 2 2" xfId="7287" xr:uid="{00000000-0005-0000-0000-00007F1A0000}"/>
    <cellStyle name="Normal 4 4 3 2 2 2 2" xfId="7288" xr:uid="{00000000-0005-0000-0000-0000801A0000}"/>
    <cellStyle name="Normal 4 4 3 2 2 2 2 2" xfId="7289" xr:uid="{00000000-0005-0000-0000-0000811A0000}"/>
    <cellStyle name="Normal 4 4 3 2 2 2 2 3" xfId="7290" xr:uid="{00000000-0005-0000-0000-0000821A0000}"/>
    <cellStyle name="Normal 4 4 3 2 2 2 3" xfId="7291" xr:uid="{00000000-0005-0000-0000-0000831A0000}"/>
    <cellStyle name="Normal 4 4 3 2 2 2 4" xfId="7292" xr:uid="{00000000-0005-0000-0000-0000841A0000}"/>
    <cellStyle name="Normal 4 4 3 2 2 2 5" xfId="7293" xr:uid="{00000000-0005-0000-0000-0000851A0000}"/>
    <cellStyle name="Normal 4 4 3 2 2 3" xfId="7294" xr:uid="{00000000-0005-0000-0000-0000861A0000}"/>
    <cellStyle name="Normal 4 4 3 2 2 3 2" xfId="7295" xr:uid="{00000000-0005-0000-0000-0000871A0000}"/>
    <cellStyle name="Normal 4 4 3 2 2 3 2 2" xfId="7296" xr:uid="{00000000-0005-0000-0000-0000881A0000}"/>
    <cellStyle name="Normal 4 4 3 2 2 3 2 3" xfId="7297" xr:uid="{00000000-0005-0000-0000-0000891A0000}"/>
    <cellStyle name="Normal 4 4 3 2 2 3 3" xfId="7298" xr:uid="{00000000-0005-0000-0000-00008A1A0000}"/>
    <cellStyle name="Normal 4 4 3 2 2 3 4" xfId="7299" xr:uid="{00000000-0005-0000-0000-00008B1A0000}"/>
    <cellStyle name="Normal 4 4 3 2 2 3 5" xfId="7300" xr:uid="{00000000-0005-0000-0000-00008C1A0000}"/>
    <cellStyle name="Normal 4 4 3 2 2 4" xfId="7301" xr:uid="{00000000-0005-0000-0000-00008D1A0000}"/>
    <cellStyle name="Normal 4 4 3 2 2 4 2" xfId="7302" xr:uid="{00000000-0005-0000-0000-00008E1A0000}"/>
    <cellStyle name="Normal 4 4 3 2 2 4 3" xfId="7303" xr:uid="{00000000-0005-0000-0000-00008F1A0000}"/>
    <cellStyle name="Normal 4 4 3 2 2 5" xfId="7304" xr:uid="{00000000-0005-0000-0000-0000901A0000}"/>
    <cellStyle name="Normal 4 4 3 2 2 6" xfId="7305" xr:uid="{00000000-0005-0000-0000-0000911A0000}"/>
    <cellStyle name="Normal 4 4 3 2 2 7" xfId="7306" xr:uid="{00000000-0005-0000-0000-0000921A0000}"/>
    <cellStyle name="Normal 4 4 3 2 3" xfId="7307" xr:uid="{00000000-0005-0000-0000-0000931A0000}"/>
    <cellStyle name="Normal 4 4 3 2 3 2" xfId="7308" xr:uid="{00000000-0005-0000-0000-0000941A0000}"/>
    <cellStyle name="Normal 4 4 3 2 3 2 2" xfId="7309" xr:uid="{00000000-0005-0000-0000-0000951A0000}"/>
    <cellStyle name="Normal 4 4 3 2 3 2 3" xfId="7310" xr:uid="{00000000-0005-0000-0000-0000961A0000}"/>
    <cellStyle name="Normal 4 4 3 2 3 3" xfId="7311" xr:uid="{00000000-0005-0000-0000-0000971A0000}"/>
    <cellStyle name="Normal 4 4 3 2 3 4" xfId="7312" xr:uid="{00000000-0005-0000-0000-0000981A0000}"/>
    <cellStyle name="Normal 4 4 3 2 3 5" xfId="7313" xr:uid="{00000000-0005-0000-0000-0000991A0000}"/>
    <cellStyle name="Normal 4 4 3 2 4" xfId="7314" xr:uid="{00000000-0005-0000-0000-00009A1A0000}"/>
    <cellStyle name="Normal 4 4 3 2 4 2" xfId="7315" xr:uid="{00000000-0005-0000-0000-00009B1A0000}"/>
    <cellStyle name="Normal 4 4 3 2 4 2 2" xfId="7316" xr:uid="{00000000-0005-0000-0000-00009C1A0000}"/>
    <cellStyle name="Normal 4 4 3 2 4 2 3" xfId="7317" xr:uid="{00000000-0005-0000-0000-00009D1A0000}"/>
    <cellStyle name="Normal 4 4 3 2 4 3" xfId="7318" xr:uid="{00000000-0005-0000-0000-00009E1A0000}"/>
    <cellStyle name="Normal 4 4 3 2 4 4" xfId="7319" xr:uid="{00000000-0005-0000-0000-00009F1A0000}"/>
    <cellStyle name="Normal 4 4 3 2 4 5" xfId="7320" xr:uid="{00000000-0005-0000-0000-0000A01A0000}"/>
    <cellStyle name="Normal 4 4 3 2 5" xfId="7321" xr:uid="{00000000-0005-0000-0000-0000A11A0000}"/>
    <cellStyle name="Normal 4 4 3 2 5 2" xfId="7322" xr:uid="{00000000-0005-0000-0000-0000A21A0000}"/>
    <cellStyle name="Normal 4 4 3 2 5 3" xfId="7323" xr:uid="{00000000-0005-0000-0000-0000A31A0000}"/>
    <cellStyle name="Normal 4 4 3 2 6" xfId="7324" xr:uid="{00000000-0005-0000-0000-0000A41A0000}"/>
    <cellStyle name="Normal 4 4 3 2 7" xfId="7325" xr:uid="{00000000-0005-0000-0000-0000A51A0000}"/>
    <cellStyle name="Normal 4 4 3 2 8" xfId="7326" xr:uid="{00000000-0005-0000-0000-0000A61A0000}"/>
    <cellStyle name="Normal 4 4 3 3" xfId="7327" xr:uid="{00000000-0005-0000-0000-0000A71A0000}"/>
    <cellStyle name="Normal 4 4 3 3 2" xfId="7328" xr:uid="{00000000-0005-0000-0000-0000A81A0000}"/>
    <cellStyle name="Normal 4 4 3 3 2 2" xfId="7329" xr:uid="{00000000-0005-0000-0000-0000A91A0000}"/>
    <cellStyle name="Normal 4 4 3 3 2 2 2" xfId="7330" xr:uid="{00000000-0005-0000-0000-0000AA1A0000}"/>
    <cellStyle name="Normal 4 4 3 3 2 2 3" xfId="7331" xr:uid="{00000000-0005-0000-0000-0000AB1A0000}"/>
    <cellStyle name="Normal 4 4 3 3 2 3" xfId="7332" xr:uid="{00000000-0005-0000-0000-0000AC1A0000}"/>
    <cellStyle name="Normal 4 4 3 3 2 4" xfId="7333" xr:uid="{00000000-0005-0000-0000-0000AD1A0000}"/>
    <cellStyle name="Normal 4 4 3 3 2 5" xfId="7334" xr:uid="{00000000-0005-0000-0000-0000AE1A0000}"/>
    <cellStyle name="Normal 4 4 3 3 3" xfId="7335" xr:uid="{00000000-0005-0000-0000-0000AF1A0000}"/>
    <cellStyle name="Normal 4 4 3 3 3 2" xfId="7336" xr:uid="{00000000-0005-0000-0000-0000B01A0000}"/>
    <cellStyle name="Normal 4 4 3 3 3 2 2" xfId="7337" xr:uid="{00000000-0005-0000-0000-0000B11A0000}"/>
    <cellStyle name="Normal 4 4 3 3 3 2 3" xfId="7338" xr:uid="{00000000-0005-0000-0000-0000B21A0000}"/>
    <cellStyle name="Normal 4 4 3 3 3 3" xfId="7339" xr:uid="{00000000-0005-0000-0000-0000B31A0000}"/>
    <cellStyle name="Normal 4 4 3 3 3 4" xfId="7340" xr:uid="{00000000-0005-0000-0000-0000B41A0000}"/>
    <cellStyle name="Normal 4 4 3 3 3 5" xfId="7341" xr:uid="{00000000-0005-0000-0000-0000B51A0000}"/>
    <cellStyle name="Normal 4 4 3 3 4" xfId="7342" xr:uid="{00000000-0005-0000-0000-0000B61A0000}"/>
    <cellStyle name="Normal 4 4 3 3 4 2" xfId="7343" xr:uid="{00000000-0005-0000-0000-0000B71A0000}"/>
    <cellStyle name="Normal 4 4 3 3 4 3" xfId="7344" xr:uid="{00000000-0005-0000-0000-0000B81A0000}"/>
    <cellStyle name="Normal 4 4 3 3 5" xfId="7345" xr:uid="{00000000-0005-0000-0000-0000B91A0000}"/>
    <cellStyle name="Normal 4 4 3 3 6" xfId="7346" xr:uid="{00000000-0005-0000-0000-0000BA1A0000}"/>
    <cellStyle name="Normal 4 4 3 3 7" xfId="7347" xr:uid="{00000000-0005-0000-0000-0000BB1A0000}"/>
    <cellStyle name="Normal 4 4 3 4" xfId="7348" xr:uid="{00000000-0005-0000-0000-0000BC1A0000}"/>
    <cellStyle name="Normal 4 4 3 4 2" xfId="7349" xr:uid="{00000000-0005-0000-0000-0000BD1A0000}"/>
    <cellStyle name="Normal 4 4 3 4 2 2" xfId="7350" xr:uid="{00000000-0005-0000-0000-0000BE1A0000}"/>
    <cellStyle name="Normal 4 4 3 4 2 3" xfId="7351" xr:uid="{00000000-0005-0000-0000-0000BF1A0000}"/>
    <cellStyle name="Normal 4 4 3 4 3" xfId="7352" xr:uid="{00000000-0005-0000-0000-0000C01A0000}"/>
    <cellStyle name="Normal 4 4 3 4 4" xfId="7353" xr:uid="{00000000-0005-0000-0000-0000C11A0000}"/>
    <cellStyle name="Normal 4 4 3 4 5" xfId="7354" xr:uid="{00000000-0005-0000-0000-0000C21A0000}"/>
    <cellStyle name="Normal 4 4 3 5" xfId="7355" xr:uid="{00000000-0005-0000-0000-0000C31A0000}"/>
    <cellStyle name="Normal 4 4 3 5 2" xfId="7356" xr:uid="{00000000-0005-0000-0000-0000C41A0000}"/>
    <cellStyle name="Normal 4 4 3 5 2 2" xfId="7357" xr:uid="{00000000-0005-0000-0000-0000C51A0000}"/>
    <cellStyle name="Normal 4 4 3 5 2 3" xfId="7358" xr:uid="{00000000-0005-0000-0000-0000C61A0000}"/>
    <cellStyle name="Normal 4 4 3 5 3" xfId="7359" xr:uid="{00000000-0005-0000-0000-0000C71A0000}"/>
    <cellStyle name="Normal 4 4 3 5 4" xfId="7360" xr:uid="{00000000-0005-0000-0000-0000C81A0000}"/>
    <cellStyle name="Normal 4 4 3 5 5" xfId="7361" xr:uid="{00000000-0005-0000-0000-0000C91A0000}"/>
    <cellStyle name="Normal 4 4 3 6" xfId="7362" xr:uid="{00000000-0005-0000-0000-0000CA1A0000}"/>
    <cellStyle name="Normal 4 4 3 6 2" xfId="7363" xr:uid="{00000000-0005-0000-0000-0000CB1A0000}"/>
    <cellStyle name="Normal 4 4 3 6 3" xfId="7364" xr:uid="{00000000-0005-0000-0000-0000CC1A0000}"/>
    <cellStyle name="Normal 4 4 3 7" xfId="7365" xr:uid="{00000000-0005-0000-0000-0000CD1A0000}"/>
    <cellStyle name="Normal 4 4 3 8" xfId="7366" xr:uid="{00000000-0005-0000-0000-0000CE1A0000}"/>
    <cellStyle name="Normal 4 4 3 9" xfId="7367" xr:uid="{00000000-0005-0000-0000-0000CF1A0000}"/>
    <cellStyle name="Normal 4 4 4" xfId="7368" xr:uid="{00000000-0005-0000-0000-0000D01A0000}"/>
    <cellStyle name="Normal 4 4 4 2" xfId="7369" xr:uid="{00000000-0005-0000-0000-0000D11A0000}"/>
    <cellStyle name="Normal 4 4 4 2 2" xfId="7370" xr:uid="{00000000-0005-0000-0000-0000D21A0000}"/>
    <cellStyle name="Normal 4 4 4 2 2 2" xfId="7371" xr:uid="{00000000-0005-0000-0000-0000D31A0000}"/>
    <cellStyle name="Normal 4 4 4 2 2 2 2" xfId="7372" xr:uid="{00000000-0005-0000-0000-0000D41A0000}"/>
    <cellStyle name="Normal 4 4 4 2 2 2 2 2" xfId="7373" xr:uid="{00000000-0005-0000-0000-0000D51A0000}"/>
    <cellStyle name="Normal 4 4 4 2 2 2 2 3" xfId="7374" xr:uid="{00000000-0005-0000-0000-0000D61A0000}"/>
    <cellStyle name="Normal 4 4 4 2 2 2 3" xfId="7375" xr:uid="{00000000-0005-0000-0000-0000D71A0000}"/>
    <cellStyle name="Normal 4 4 4 2 2 2 4" xfId="7376" xr:uid="{00000000-0005-0000-0000-0000D81A0000}"/>
    <cellStyle name="Normal 4 4 4 2 2 2 5" xfId="7377" xr:uid="{00000000-0005-0000-0000-0000D91A0000}"/>
    <cellStyle name="Normal 4 4 4 2 2 3" xfId="7378" xr:uid="{00000000-0005-0000-0000-0000DA1A0000}"/>
    <cellStyle name="Normal 4 4 4 2 2 3 2" xfId="7379" xr:uid="{00000000-0005-0000-0000-0000DB1A0000}"/>
    <cellStyle name="Normal 4 4 4 2 2 3 2 2" xfId="7380" xr:uid="{00000000-0005-0000-0000-0000DC1A0000}"/>
    <cellStyle name="Normal 4 4 4 2 2 3 2 3" xfId="7381" xr:uid="{00000000-0005-0000-0000-0000DD1A0000}"/>
    <cellStyle name="Normal 4 4 4 2 2 3 3" xfId="7382" xr:uid="{00000000-0005-0000-0000-0000DE1A0000}"/>
    <cellStyle name="Normal 4 4 4 2 2 3 4" xfId="7383" xr:uid="{00000000-0005-0000-0000-0000DF1A0000}"/>
    <cellStyle name="Normal 4 4 4 2 2 3 5" xfId="7384" xr:uid="{00000000-0005-0000-0000-0000E01A0000}"/>
    <cellStyle name="Normal 4 4 4 2 2 4" xfId="7385" xr:uid="{00000000-0005-0000-0000-0000E11A0000}"/>
    <cellStyle name="Normal 4 4 4 2 2 4 2" xfId="7386" xr:uid="{00000000-0005-0000-0000-0000E21A0000}"/>
    <cellStyle name="Normal 4 4 4 2 2 4 3" xfId="7387" xr:uid="{00000000-0005-0000-0000-0000E31A0000}"/>
    <cellStyle name="Normal 4 4 4 2 2 5" xfId="7388" xr:uid="{00000000-0005-0000-0000-0000E41A0000}"/>
    <cellStyle name="Normal 4 4 4 2 2 6" xfId="7389" xr:uid="{00000000-0005-0000-0000-0000E51A0000}"/>
    <cellStyle name="Normal 4 4 4 2 2 7" xfId="7390" xr:uid="{00000000-0005-0000-0000-0000E61A0000}"/>
    <cellStyle name="Normal 4 4 4 2 3" xfId="7391" xr:uid="{00000000-0005-0000-0000-0000E71A0000}"/>
    <cellStyle name="Normal 4 4 4 2 3 2" xfId="7392" xr:uid="{00000000-0005-0000-0000-0000E81A0000}"/>
    <cellStyle name="Normal 4 4 4 2 3 2 2" xfId="7393" xr:uid="{00000000-0005-0000-0000-0000E91A0000}"/>
    <cellStyle name="Normal 4 4 4 2 3 2 3" xfId="7394" xr:uid="{00000000-0005-0000-0000-0000EA1A0000}"/>
    <cellStyle name="Normal 4 4 4 2 3 3" xfId="7395" xr:uid="{00000000-0005-0000-0000-0000EB1A0000}"/>
    <cellStyle name="Normal 4 4 4 2 3 4" xfId="7396" xr:uid="{00000000-0005-0000-0000-0000EC1A0000}"/>
    <cellStyle name="Normal 4 4 4 2 3 5" xfId="7397" xr:uid="{00000000-0005-0000-0000-0000ED1A0000}"/>
    <cellStyle name="Normal 4 4 4 2 4" xfId="7398" xr:uid="{00000000-0005-0000-0000-0000EE1A0000}"/>
    <cellStyle name="Normal 4 4 4 2 4 2" xfId="7399" xr:uid="{00000000-0005-0000-0000-0000EF1A0000}"/>
    <cellStyle name="Normal 4 4 4 2 4 2 2" xfId="7400" xr:uid="{00000000-0005-0000-0000-0000F01A0000}"/>
    <cellStyle name="Normal 4 4 4 2 4 2 3" xfId="7401" xr:uid="{00000000-0005-0000-0000-0000F11A0000}"/>
    <cellStyle name="Normal 4 4 4 2 4 3" xfId="7402" xr:uid="{00000000-0005-0000-0000-0000F21A0000}"/>
    <cellStyle name="Normal 4 4 4 2 4 4" xfId="7403" xr:uid="{00000000-0005-0000-0000-0000F31A0000}"/>
    <cellStyle name="Normal 4 4 4 2 4 5" xfId="7404" xr:uid="{00000000-0005-0000-0000-0000F41A0000}"/>
    <cellStyle name="Normal 4 4 4 2 5" xfId="7405" xr:uid="{00000000-0005-0000-0000-0000F51A0000}"/>
    <cellStyle name="Normal 4 4 4 2 5 2" xfId="7406" xr:uid="{00000000-0005-0000-0000-0000F61A0000}"/>
    <cellStyle name="Normal 4 4 4 2 5 3" xfId="7407" xr:uid="{00000000-0005-0000-0000-0000F71A0000}"/>
    <cellStyle name="Normal 4 4 4 2 6" xfId="7408" xr:uid="{00000000-0005-0000-0000-0000F81A0000}"/>
    <cellStyle name="Normal 4 4 4 2 7" xfId="7409" xr:uid="{00000000-0005-0000-0000-0000F91A0000}"/>
    <cellStyle name="Normal 4 4 4 2 8" xfId="7410" xr:uid="{00000000-0005-0000-0000-0000FA1A0000}"/>
    <cellStyle name="Normal 4 4 4 3" xfId="7411" xr:uid="{00000000-0005-0000-0000-0000FB1A0000}"/>
    <cellStyle name="Normal 4 4 4 3 2" xfId="7412" xr:uid="{00000000-0005-0000-0000-0000FC1A0000}"/>
    <cellStyle name="Normal 4 4 4 3 2 2" xfId="7413" xr:uid="{00000000-0005-0000-0000-0000FD1A0000}"/>
    <cellStyle name="Normal 4 4 4 3 2 2 2" xfId="7414" xr:uid="{00000000-0005-0000-0000-0000FE1A0000}"/>
    <cellStyle name="Normal 4 4 4 3 2 2 3" xfId="7415" xr:uid="{00000000-0005-0000-0000-0000FF1A0000}"/>
    <cellStyle name="Normal 4 4 4 3 2 3" xfId="7416" xr:uid="{00000000-0005-0000-0000-0000001B0000}"/>
    <cellStyle name="Normal 4 4 4 3 2 4" xfId="7417" xr:uid="{00000000-0005-0000-0000-0000011B0000}"/>
    <cellStyle name="Normal 4 4 4 3 2 5" xfId="7418" xr:uid="{00000000-0005-0000-0000-0000021B0000}"/>
    <cellStyle name="Normal 4 4 4 3 3" xfId="7419" xr:uid="{00000000-0005-0000-0000-0000031B0000}"/>
    <cellStyle name="Normal 4 4 4 3 3 2" xfId="7420" xr:uid="{00000000-0005-0000-0000-0000041B0000}"/>
    <cellStyle name="Normal 4 4 4 3 3 2 2" xfId="7421" xr:uid="{00000000-0005-0000-0000-0000051B0000}"/>
    <cellStyle name="Normal 4 4 4 3 3 2 3" xfId="7422" xr:uid="{00000000-0005-0000-0000-0000061B0000}"/>
    <cellStyle name="Normal 4 4 4 3 3 3" xfId="7423" xr:uid="{00000000-0005-0000-0000-0000071B0000}"/>
    <cellStyle name="Normal 4 4 4 3 3 4" xfId="7424" xr:uid="{00000000-0005-0000-0000-0000081B0000}"/>
    <cellStyle name="Normal 4 4 4 3 3 5" xfId="7425" xr:uid="{00000000-0005-0000-0000-0000091B0000}"/>
    <cellStyle name="Normal 4 4 4 3 4" xfId="7426" xr:uid="{00000000-0005-0000-0000-00000A1B0000}"/>
    <cellStyle name="Normal 4 4 4 3 4 2" xfId="7427" xr:uid="{00000000-0005-0000-0000-00000B1B0000}"/>
    <cellStyle name="Normal 4 4 4 3 4 3" xfId="7428" xr:uid="{00000000-0005-0000-0000-00000C1B0000}"/>
    <cellStyle name="Normal 4 4 4 3 5" xfId="7429" xr:uid="{00000000-0005-0000-0000-00000D1B0000}"/>
    <cellStyle name="Normal 4 4 4 3 6" xfId="7430" xr:uid="{00000000-0005-0000-0000-00000E1B0000}"/>
    <cellStyle name="Normal 4 4 4 3 7" xfId="7431" xr:uid="{00000000-0005-0000-0000-00000F1B0000}"/>
    <cellStyle name="Normal 4 4 4 4" xfId="7432" xr:uid="{00000000-0005-0000-0000-0000101B0000}"/>
    <cellStyle name="Normal 4 4 4 4 2" xfId="7433" xr:uid="{00000000-0005-0000-0000-0000111B0000}"/>
    <cellStyle name="Normal 4 4 4 4 2 2" xfId="7434" xr:uid="{00000000-0005-0000-0000-0000121B0000}"/>
    <cellStyle name="Normal 4 4 4 4 2 3" xfId="7435" xr:uid="{00000000-0005-0000-0000-0000131B0000}"/>
    <cellStyle name="Normal 4 4 4 4 3" xfId="7436" xr:uid="{00000000-0005-0000-0000-0000141B0000}"/>
    <cellStyle name="Normal 4 4 4 4 4" xfId="7437" xr:uid="{00000000-0005-0000-0000-0000151B0000}"/>
    <cellStyle name="Normal 4 4 4 4 5" xfId="7438" xr:uid="{00000000-0005-0000-0000-0000161B0000}"/>
    <cellStyle name="Normal 4 4 4 5" xfId="7439" xr:uid="{00000000-0005-0000-0000-0000171B0000}"/>
    <cellStyle name="Normal 4 4 4 5 2" xfId="7440" xr:uid="{00000000-0005-0000-0000-0000181B0000}"/>
    <cellStyle name="Normal 4 4 4 5 2 2" xfId="7441" xr:uid="{00000000-0005-0000-0000-0000191B0000}"/>
    <cellStyle name="Normal 4 4 4 5 2 3" xfId="7442" xr:uid="{00000000-0005-0000-0000-00001A1B0000}"/>
    <cellStyle name="Normal 4 4 4 5 3" xfId="7443" xr:uid="{00000000-0005-0000-0000-00001B1B0000}"/>
    <cellStyle name="Normal 4 4 4 5 4" xfId="7444" xr:uid="{00000000-0005-0000-0000-00001C1B0000}"/>
    <cellStyle name="Normal 4 4 4 5 5" xfId="7445" xr:uid="{00000000-0005-0000-0000-00001D1B0000}"/>
    <cellStyle name="Normal 4 4 4 6" xfId="7446" xr:uid="{00000000-0005-0000-0000-00001E1B0000}"/>
    <cellStyle name="Normal 4 4 4 6 2" xfId="7447" xr:uid="{00000000-0005-0000-0000-00001F1B0000}"/>
    <cellStyle name="Normal 4 4 4 6 3" xfId="7448" xr:uid="{00000000-0005-0000-0000-0000201B0000}"/>
    <cellStyle name="Normal 4 4 4 7" xfId="7449" xr:uid="{00000000-0005-0000-0000-0000211B0000}"/>
    <cellStyle name="Normal 4 4 4 8" xfId="7450" xr:uid="{00000000-0005-0000-0000-0000221B0000}"/>
    <cellStyle name="Normal 4 4 4 9" xfId="7451" xr:uid="{00000000-0005-0000-0000-0000231B0000}"/>
    <cellStyle name="Normal 4 4 5" xfId="7452" xr:uid="{00000000-0005-0000-0000-0000241B0000}"/>
    <cellStyle name="Normal 4 4 5 2" xfId="7453" xr:uid="{00000000-0005-0000-0000-0000251B0000}"/>
    <cellStyle name="Normal 4 4 5 2 2" xfId="7454" xr:uid="{00000000-0005-0000-0000-0000261B0000}"/>
    <cellStyle name="Normal 4 4 5 2 2 2" xfId="7455" xr:uid="{00000000-0005-0000-0000-0000271B0000}"/>
    <cellStyle name="Normal 4 4 5 2 2 2 2" xfId="7456" xr:uid="{00000000-0005-0000-0000-0000281B0000}"/>
    <cellStyle name="Normal 4 4 5 2 2 2 2 2" xfId="7457" xr:uid="{00000000-0005-0000-0000-0000291B0000}"/>
    <cellStyle name="Normal 4 4 5 2 2 2 2 3" xfId="7458" xr:uid="{00000000-0005-0000-0000-00002A1B0000}"/>
    <cellStyle name="Normal 4 4 5 2 2 2 3" xfId="7459" xr:uid="{00000000-0005-0000-0000-00002B1B0000}"/>
    <cellStyle name="Normal 4 4 5 2 2 2 4" xfId="7460" xr:uid="{00000000-0005-0000-0000-00002C1B0000}"/>
    <cellStyle name="Normal 4 4 5 2 2 2 5" xfId="7461" xr:uid="{00000000-0005-0000-0000-00002D1B0000}"/>
    <cellStyle name="Normal 4 4 5 2 2 3" xfId="7462" xr:uid="{00000000-0005-0000-0000-00002E1B0000}"/>
    <cellStyle name="Normal 4 4 5 2 2 3 2" xfId="7463" xr:uid="{00000000-0005-0000-0000-00002F1B0000}"/>
    <cellStyle name="Normal 4 4 5 2 2 3 2 2" xfId="7464" xr:uid="{00000000-0005-0000-0000-0000301B0000}"/>
    <cellStyle name="Normal 4 4 5 2 2 3 2 3" xfId="7465" xr:uid="{00000000-0005-0000-0000-0000311B0000}"/>
    <cellStyle name="Normal 4 4 5 2 2 3 3" xfId="7466" xr:uid="{00000000-0005-0000-0000-0000321B0000}"/>
    <cellStyle name="Normal 4 4 5 2 2 3 4" xfId="7467" xr:uid="{00000000-0005-0000-0000-0000331B0000}"/>
    <cellStyle name="Normal 4 4 5 2 2 3 5" xfId="7468" xr:uid="{00000000-0005-0000-0000-0000341B0000}"/>
    <cellStyle name="Normal 4 4 5 2 2 4" xfId="7469" xr:uid="{00000000-0005-0000-0000-0000351B0000}"/>
    <cellStyle name="Normal 4 4 5 2 2 4 2" xfId="7470" xr:uid="{00000000-0005-0000-0000-0000361B0000}"/>
    <cellStyle name="Normal 4 4 5 2 2 4 3" xfId="7471" xr:uid="{00000000-0005-0000-0000-0000371B0000}"/>
    <cellStyle name="Normal 4 4 5 2 2 5" xfId="7472" xr:uid="{00000000-0005-0000-0000-0000381B0000}"/>
    <cellStyle name="Normal 4 4 5 2 2 6" xfId="7473" xr:uid="{00000000-0005-0000-0000-0000391B0000}"/>
    <cellStyle name="Normal 4 4 5 2 2 7" xfId="7474" xr:uid="{00000000-0005-0000-0000-00003A1B0000}"/>
    <cellStyle name="Normal 4 4 5 2 3" xfId="7475" xr:uid="{00000000-0005-0000-0000-00003B1B0000}"/>
    <cellStyle name="Normal 4 4 5 2 3 2" xfId="7476" xr:uid="{00000000-0005-0000-0000-00003C1B0000}"/>
    <cellStyle name="Normal 4 4 5 2 3 2 2" xfId="7477" xr:uid="{00000000-0005-0000-0000-00003D1B0000}"/>
    <cellStyle name="Normal 4 4 5 2 3 2 3" xfId="7478" xr:uid="{00000000-0005-0000-0000-00003E1B0000}"/>
    <cellStyle name="Normal 4 4 5 2 3 3" xfId="7479" xr:uid="{00000000-0005-0000-0000-00003F1B0000}"/>
    <cellStyle name="Normal 4 4 5 2 3 4" xfId="7480" xr:uid="{00000000-0005-0000-0000-0000401B0000}"/>
    <cellStyle name="Normal 4 4 5 2 3 5" xfId="7481" xr:uid="{00000000-0005-0000-0000-0000411B0000}"/>
    <cellStyle name="Normal 4 4 5 2 4" xfId="7482" xr:uid="{00000000-0005-0000-0000-0000421B0000}"/>
    <cellStyle name="Normal 4 4 5 2 4 2" xfId="7483" xr:uid="{00000000-0005-0000-0000-0000431B0000}"/>
    <cellStyle name="Normal 4 4 5 2 4 2 2" xfId="7484" xr:uid="{00000000-0005-0000-0000-0000441B0000}"/>
    <cellStyle name="Normal 4 4 5 2 4 2 3" xfId="7485" xr:uid="{00000000-0005-0000-0000-0000451B0000}"/>
    <cellStyle name="Normal 4 4 5 2 4 3" xfId="7486" xr:uid="{00000000-0005-0000-0000-0000461B0000}"/>
    <cellStyle name="Normal 4 4 5 2 4 4" xfId="7487" xr:uid="{00000000-0005-0000-0000-0000471B0000}"/>
    <cellStyle name="Normal 4 4 5 2 4 5" xfId="7488" xr:uid="{00000000-0005-0000-0000-0000481B0000}"/>
    <cellStyle name="Normal 4 4 5 2 5" xfId="7489" xr:uid="{00000000-0005-0000-0000-0000491B0000}"/>
    <cellStyle name="Normal 4 4 5 2 5 2" xfId="7490" xr:uid="{00000000-0005-0000-0000-00004A1B0000}"/>
    <cellStyle name="Normal 4 4 5 2 5 3" xfId="7491" xr:uid="{00000000-0005-0000-0000-00004B1B0000}"/>
    <cellStyle name="Normal 4 4 5 2 6" xfId="7492" xr:uid="{00000000-0005-0000-0000-00004C1B0000}"/>
    <cellStyle name="Normal 4 4 5 2 7" xfId="7493" xr:uid="{00000000-0005-0000-0000-00004D1B0000}"/>
    <cellStyle name="Normal 4 4 5 2 8" xfId="7494" xr:uid="{00000000-0005-0000-0000-00004E1B0000}"/>
    <cellStyle name="Normal 4 4 5 3" xfId="7495" xr:uid="{00000000-0005-0000-0000-00004F1B0000}"/>
    <cellStyle name="Normal 4 4 5 3 2" xfId="7496" xr:uid="{00000000-0005-0000-0000-0000501B0000}"/>
    <cellStyle name="Normal 4 4 5 3 2 2" xfId="7497" xr:uid="{00000000-0005-0000-0000-0000511B0000}"/>
    <cellStyle name="Normal 4 4 5 3 2 2 2" xfId="7498" xr:uid="{00000000-0005-0000-0000-0000521B0000}"/>
    <cellStyle name="Normal 4 4 5 3 2 2 3" xfId="7499" xr:uid="{00000000-0005-0000-0000-0000531B0000}"/>
    <cellStyle name="Normal 4 4 5 3 2 3" xfId="7500" xr:uid="{00000000-0005-0000-0000-0000541B0000}"/>
    <cellStyle name="Normal 4 4 5 3 2 4" xfId="7501" xr:uid="{00000000-0005-0000-0000-0000551B0000}"/>
    <cellStyle name="Normal 4 4 5 3 2 5" xfId="7502" xr:uid="{00000000-0005-0000-0000-0000561B0000}"/>
    <cellStyle name="Normal 4 4 5 3 3" xfId="7503" xr:uid="{00000000-0005-0000-0000-0000571B0000}"/>
    <cellStyle name="Normal 4 4 5 3 3 2" xfId="7504" xr:uid="{00000000-0005-0000-0000-0000581B0000}"/>
    <cellStyle name="Normal 4 4 5 3 3 2 2" xfId="7505" xr:uid="{00000000-0005-0000-0000-0000591B0000}"/>
    <cellStyle name="Normal 4 4 5 3 3 2 3" xfId="7506" xr:uid="{00000000-0005-0000-0000-00005A1B0000}"/>
    <cellStyle name="Normal 4 4 5 3 3 3" xfId="7507" xr:uid="{00000000-0005-0000-0000-00005B1B0000}"/>
    <cellStyle name="Normal 4 4 5 3 3 4" xfId="7508" xr:uid="{00000000-0005-0000-0000-00005C1B0000}"/>
    <cellStyle name="Normal 4 4 5 3 3 5" xfId="7509" xr:uid="{00000000-0005-0000-0000-00005D1B0000}"/>
    <cellStyle name="Normal 4 4 5 3 4" xfId="7510" xr:uid="{00000000-0005-0000-0000-00005E1B0000}"/>
    <cellStyle name="Normal 4 4 5 3 4 2" xfId="7511" xr:uid="{00000000-0005-0000-0000-00005F1B0000}"/>
    <cellStyle name="Normal 4 4 5 3 4 3" xfId="7512" xr:uid="{00000000-0005-0000-0000-0000601B0000}"/>
    <cellStyle name="Normal 4 4 5 3 5" xfId="7513" xr:uid="{00000000-0005-0000-0000-0000611B0000}"/>
    <cellStyle name="Normal 4 4 5 3 6" xfId="7514" xr:uid="{00000000-0005-0000-0000-0000621B0000}"/>
    <cellStyle name="Normal 4 4 5 3 7" xfId="7515" xr:uid="{00000000-0005-0000-0000-0000631B0000}"/>
    <cellStyle name="Normal 4 4 5 4" xfId="7516" xr:uid="{00000000-0005-0000-0000-0000641B0000}"/>
    <cellStyle name="Normal 4 4 5 4 2" xfId="7517" xr:uid="{00000000-0005-0000-0000-0000651B0000}"/>
    <cellStyle name="Normal 4 4 5 4 2 2" xfId="7518" xr:uid="{00000000-0005-0000-0000-0000661B0000}"/>
    <cellStyle name="Normal 4 4 5 4 2 3" xfId="7519" xr:uid="{00000000-0005-0000-0000-0000671B0000}"/>
    <cellStyle name="Normal 4 4 5 4 3" xfId="7520" xr:uid="{00000000-0005-0000-0000-0000681B0000}"/>
    <cellStyle name="Normal 4 4 5 4 4" xfId="7521" xr:uid="{00000000-0005-0000-0000-0000691B0000}"/>
    <cellStyle name="Normal 4 4 5 4 5" xfId="7522" xr:uid="{00000000-0005-0000-0000-00006A1B0000}"/>
    <cellStyle name="Normal 4 4 5 5" xfId="7523" xr:uid="{00000000-0005-0000-0000-00006B1B0000}"/>
    <cellStyle name="Normal 4 4 5 5 2" xfId="7524" xr:uid="{00000000-0005-0000-0000-00006C1B0000}"/>
    <cellStyle name="Normal 4 4 5 5 2 2" xfId="7525" xr:uid="{00000000-0005-0000-0000-00006D1B0000}"/>
    <cellStyle name="Normal 4 4 5 5 2 3" xfId="7526" xr:uid="{00000000-0005-0000-0000-00006E1B0000}"/>
    <cellStyle name="Normal 4 4 5 5 3" xfId="7527" xr:uid="{00000000-0005-0000-0000-00006F1B0000}"/>
    <cellStyle name="Normal 4 4 5 5 4" xfId="7528" xr:uid="{00000000-0005-0000-0000-0000701B0000}"/>
    <cellStyle name="Normal 4 4 5 5 5" xfId="7529" xr:uid="{00000000-0005-0000-0000-0000711B0000}"/>
    <cellStyle name="Normal 4 4 5 6" xfId="7530" xr:uid="{00000000-0005-0000-0000-0000721B0000}"/>
    <cellStyle name="Normal 4 4 5 6 2" xfId="7531" xr:uid="{00000000-0005-0000-0000-0000731B0000}"/>
    <cellStyle name="Normal 4 4 5 6 3" xfId="7532" xr:uid="{00000000-0005-0000-0000-0000741B0000}"/>
    <cellStyle name="Normal 4 4 5 7" xfId="7533" xr:uid="{00000000-0005-0000-0000-0000751B0000}"/>
    <cellStyle name="Normal 4 4 5 8" xfId="7534" xr:uid="{00000000-0005-0000-0000-0000761B0000}"/>
    <cellStyle name="Normal 4 4 5 9" xfId="7535" xr:uid="{00000000-0005-0000-0000-0000771B0000}"/>
    <cellStyle name="Normal 4 4 6" xfId="7536" xr:uid="{00000000-0005-0000-0000-0000781B0000}"/>
    <cellStyle name="Normal 4 4 6 2" xfId="7537" xr:uid="{00000000-0005-0000-0000-0000791B0000}"/>
    <cellStyle name="Normal 4 4 6 2 2" xfId="7538" xr:uid="{00000000-0005-0000-0000-00007A1B0000}"/>
    <cellStyle name="Normal 4 4 6 2 2 2" xfId="7539" xr:uid="{00000000-0005-0000-0000-00007B1B0000}"/>
    <cellStyle name="Normal 4 4 6 2 2 2 2" xfId="7540" xr:uid="{00000000-0005-0000-0000-00007C1B0000}"/>
    <cellStyle name="Normal 4 4 6 2 2 2 3" xfId="7541" xr:uid="{00000000-0005-0000-0000-00007D1B0000}"/>
    <cellStyle name="Normal 4 4 6 2 2 3" xfId="7542" xr:uid="{00000000-0005-0000-0000-00007E1B0000}"/>
    <cellStyle name="Normal 4 4 6 2 2 4" xfId="7543" xr:uid="{00000000-0005-0000-0000-00007F1B0000}"/>
    <cellStyle name="Normal 4 4 6 2 2 5" xfId="7544" xr:uid="{00000000-0005-0000-0000-0000801B0000}"/>
    <cellStyle name="Normal 4 4 6 2 3" xfId="7545" xr:uid="{00000000-0005-0000-0000-0000811B0000}"/>
    <cellStyle name="Normal 4 4 6 2 3 2" xfId="7546" xr:uid="{00000000-0005-0000-0000-0000821B0000}"/>
    <cellStyle name="Normal 4 4 6 2 3 2 2" xfId="7547" xr:uid="{00000000-0005-0000-0000-0000831B0000}"/>
    <cellStyle name="Normal 4 4 6 2 3 2 3" xfId="7548" xr:uid="{00000000-0005-0000-0000-0000841B0000}"/>
    <cellStyle name="Normal 4 4 6 2 3 3" xfId="7549" xr:uid="{00000000-0005-0000-0000-0000851B0000}"/>
    <cellStyle name="Normal 4 4 6 2 3 4" xfId="7550" xr:uid="{00000000-0005-0000-0000-0000861B0000}"/>
    <cellStyle name="Normal 4 4 6 2 3 5" xfId="7551" xr:uid="{00000000-0005-0000-0000-0000871B0000}"/>
    <cellStyle name="Normal 4 4 6 2 4" xfId="7552" xr:uid="{00000000-0005-0000-0000-0000881B0000}"/>
    <cellStyle name="Normal 4 4 6 2 4 2" xfId="7553" xr:uid="{00000000-0005-0000-0000-0000891B0000}"/>
    <cellStyle name="Normal 4 4 6 2 4 3" xfId="7554" xr:uid="{00000000-0005-0000-0000-00008A1B0000}"/>
    <cellStyle name="Normal 4 4 6 2 5" xfId="7555" xr:uid="{00000000-0005-0000-0000-00008B1B0000}"/>
    <cellStyle name="Normal 4 4 6 2 6" xfId="7556" xr:uid="{00000000-0005-0000-0000-00008C1B0000}"/>
    <cellStyle name="Normal 4 4 6 2 7" xfId="7557" xr:uid="{00000000-0005-0000-0000-00008D1B0000}"/>
    <cellStyle name="Normal 4 4 6 3" xfId="7558" xr:uid="{00000000-0005-0000-0000-00008E1B0000}"/>
    <cellStyle name="Normal 4 4 6 3 2" xfId="7559" xr:uid="{00000000-0005-0000-0000-00008F1B0000}"/>
    <cellStyle name="Normal 4 4 6 3 2 2" xfId="7560" xr:uid="{00000000-0005-0000-0000-0000901B0000}"/>
    <cellStyle name="Normal 4 4 6 3 2 3" xfId="7561" xr:uid="{00000000-0005-0000-0000-0000911B0000}"/>
    <cellStyle name="Normal 4 4 6 3 3" xfId="7562" xr:uid="{00000000-0005-0000-0000-0000921B0000}"/>
    <cellStyle name="Normal 4 4 6 3 4" xfId="7563" xr:uid="{00000000-0005-0000-0000-0000931B0000}"/>
    <cellStyle name="Normal 4 4 6 3 5" xfId="7564" xr:uid="{00000000-0005-0000-0000-0000941B0000}"/>
    <cellStyle name="Normal 4 4 6 4" xfId="7565" xr:uid="{00000000-0005-0000-0000-0000951B0000}"/>
    <cellStyle name="Normal 4 4 6 4 2" xfId="7566" xr:uid="{00000000-0005-0000-0000-0000961B0000}"/>
    <cellStyle name="Normal 4 4 6 4 2 2" xfId="7567" xr:uid="{00000000-0005-0000-0000-0000971B0000}"/>
    <cellStyle name="Normal 4 4 6 4 2 3" xfId="7568" xr:uid="{00000000-0005-0000-0000-0000981B0000}"/>
    <cellStyle name="Normal 4 4 6 4 3" xfId="7569" xr:uid="{00000000-0005-0000-0000-0000991B0000}"/>
    <cellStyle name="Normal 4 4 6 4 4" xfId="7570" xr:uid="{00000000-0005-0000-0000-00009A1B0000}"/>
    <cellStyle name="Normal 4 4 6 4 5" xfId="7571" xr:uid="{00000000-0005-0000-0000-00009B1B0000}"/>
    <cellStyle name="Normal 4 4 6 5" xfId="7572" xr:uid="{00000000-0005-0000-0000-00009C1B0000}"/>
    <cellStyle name="Normal 4 4 6 5 2" xfId="7573" xr:uid="{00000000-0005-0000-0000-00009D1B0000}"/>
    <cellStyle name="Normal 4 4 6 5 3" xfId="7574" xr:uid="{00000000-0005-0000-0000-00009E1B0000}"/>
    <cellStyle name="Normal 4 4 6 6" xfId="7575" xr:uid="{00000000-0005-0000-0000-00009F1B0000}"/>
    <cellStyle name="Normal 4 4 6 7" xfId="7576" xr:uid="{00000000-0005-0000-0000-0000A01B0000}"/>
    <cellStyle name="Normal 4 4 6 8" xfId="7577" xr:uid="{00000000-0005-0000-0000-0000A11B0000}"/>
    <cellStyle name="Normal 4 4 7" xfId="7578" xr:uid="{00000000-0005-0000-0000-0000A21B0000}"/>
    <cellStyle name="Normal 4 4 7 2" xfId="7579" xr:uid="{00000000-0005-0000-0000-0000A31B0000}"/>
    <cellStyle name="Normal 4 4 7 2 2" xfId="7580" xr:uid="{00000000-0005-0000-0000-0000A41B0000}"/>
    <cellStyle name="Normal 4 4 7 2 2 2" xfId="7581" xr:uid="{00000000-0005-0000-0000-0000A51B0000}"/>
    <cellStyle name="Normal 4 4 7 2 2 3" xfId="7582" xr:uid="{00000000-0005-0000-0000-0000A61B0000}"/>
    <cellStyle name="Normal 4 4 7 2 3" xfId="7583" xr:uid="{00000000-0005-0000-0000-0000A71B0000}"/>
    <cellStyle name="Normal 4 4 7 2 4" xfId="7584" xr:uid="{00000000-0005-0000-0000-0000A81B0000}"/>
    <cellStyle name="Normal 4 4 7 2 5" xfId="7585" xr:uid="{00000000-0005-0000-0000-0000A91B0000}"/>
    <cellStyle name="Normal 4 4 7 3" xfId="7586" xr:uid="{00000000-0005-0000-0000-0000AA1B0000}"/>
    <cellStyle name="Normal 4 4 7 3 2" xfId="7587" xr:uid="{00000000-0005-0000-0000-0000AB1B0000}"/>
    <cellStyle name="Normal 4 4 7 3 2 2" xfId="7588" xr:uid="{00000000-0005-0000-0000-0000AC1B0000}"/>
    <cellStyle name="Normal 4 4 7 3 2 3" xfId="7589" xr:uid="{00000000-0005-0000-0000-0000AD1B0000}"/>
    <cellStyle name="Normal 4 4 7 3 3" xfId="7590" xr:uid="{00000000-0005-0000-0000-0000AE1B0000}"/>
    <cellStyle name="Normal 4 4 7 3 4" xfId="7591" xr:uid="{00000000-0005-0000-0000-0000AF1B0000}"/>
    <cellStyle name="Normal 4 4 7 3 5" xfId="7592" xr:uid="{00000000-0005-0000-0000-0000B01B0000}"/>
    <cellStyle name="Normal 4 4 7 4" xfId="7593" xr:uid="{00000000-0005-0000-0000-0000B11B0000}"/>
    <cellStyle name="Normal 4 4 7 4 2" xfId="7594" xr:uid="{00000000-0005-0000-0000-0000B21B0000}"/>
    <cellStyle name="Normal 4 4 7 4 3" xfId="7595" xr:uid="{00000000-0005-0000-0000-0000B31B0000}"/>
    <cellStyle name="Normal 4 4 7 5" xfId="7596" xr:uid="{00000000-0005-0000-0000-0000B41B0000}"/>
    <cellStyle name="Normal 4 4 7 6" xfId="7597" xr:uid="{00000000-0005-0000-0000-0000B51B0000}"/>
    <cellStyle name="Normal 4 4 7 7" xfId="7598" xr:uid="{00000000-0005-0000-0000-0000B61B0000}"/>
    <cellStyle name="Normal 4 4 8" xfId="7599" xr:uid="{00000000-0005-0000-0000-0000B71B0000}"/>
    <cellStyle name="Normal 4 4 8 2" xfId="7600" xr:uid="{00000000-0005-0000-0000-0000B81B0000}"/>
    <cellStyle name="Normal 4 4 8 2 2" xfId="7601" xr:uid="{00000000-0005-0000-0000-0000B91B0000}"/>
    <cellStyle name="Normal 4 4 8 2 2 2" xfId="7602" xr:uid="{00000000-0005-0000-0000-0000BA1B0000}"/>
    <cellStyle name="Normal 4 4 8 2 2 3" xfId="7603" xr:uid="{00000000-0005-0000-0000-0000BB1B0000}"/>
    <cellStyle name="Normal 4 4 8 2 3" xfId="7604" xr:uid="{00000000-0005-0000-0000-0000BC1B0000}"/>
    <cellStyle name="Normal 4 4 8 2 4" xfId="7605" xr:uid="{00000000-0005-0000-0000-0000BD1B0000}"/>
    <cellStyle name="Normal 4 4 8 2 5" xfId="7606" xr:uid="{00000000-0005-0000-0000-0000BE1B0000}"/>
    <cellStyle name="Normal 4 4 8 3" xfId="7607" xr:uid="{00000000-0005-0000-0000-0000BF1B0000}"/>
    <cellStyle name="Normal 4 4 8 3 2" xfId="7608" xr:uid="{00000000-0005-0000-0000-0000C01B0000}"/>
    <cellStyle name="Normal 4 4 8 3 2 2" xfId="7609" xr:uid="{00000000-0005-0000-0000-0000C11B0000}"/>
    <cellStyle name="Normal 4 4 8 3 2 3" xfId="7610" xr:uid="{00000000-0005-0000-0000-0000C21B0000}"/>
    <cellStyle name="Normal 4 4 8 3 3" xfId="7611" xr:uid="{00000000-0005-0000-0000-0000C31B0000}"/>
    <cellStyle name="Normal 4 4 8 3 4" xfId="7612" xr:uid="{00000000-0005-0000-0000-0000C41B0000}"/>
    <cellStyle name="Normal 4 4 8 3 5" xfId="7613" xr:uid="{00000000-0005-0000-0000-0000C51B0000}"/>
    <cellStyle name="Normal 4 4 8 4" xfId="7614" xr:uid="{00000000-0005-0000-0000-0000C61B0000}"/>
    <cellStyle name="Normal 4 4 8 4 2" xfId="7615" xr:uid="{00000000-0005-0000-0000-0000C71B0000}"/>
    <cellStyle name="Normal 4 4 8 4 3" xfId="7616" xr:uid="{00000000-0005-0000-0000-0000C81B0000}"/>
    <cellStyle name="Normal 4 4 8 5" xfId="7617" xr:uid="{00000000-0005-0000-0000-0000C91B0000}"/>
    <cellStyle name="Normal 4 4 8 6" xfId="7618" xr:uid="{00000000-0005-0000-0000-0000CA1B0000}"/>
    <cellStyle name="Normal 4 4 8 7" xfId="7619" xr:uid="{00000000-0005-0000-0000-0000CB1B0000}"/>
    <cellStyle name="Normal 4 4 9" xfId="7620" xr:uid="{00000000-0005-0000-0000-0000CC1B0000}"/>
    <cellStyle name="Normal 4 4 9 2" xfId="7621" xr:uid="{00000000-0005-0000-0000-0000CD1B0000}"/>
    <cellStyle name="Normal 4 4 9 2 2" xfId="7622" xr:uid="{00000000-0005-0000-0000-0000CE1B0000}"/>
    <cellStyle name="Normal 4 4 9 2 3" xfId="7623" xr:uid="{00000000-0005-0000-0000-0000CF1B0000}"/>
    <cellStyle name="Normal 4 4 9 3" xfId="7624" xr:uid="{00000000-0005-0000-0000-0000D01B0000}"/>
    <cellStyle name="Normal 4 4 9 4" xfId="7625" xr:uid="{00000000-0005-0000-0000-0000D11B0000}"/>
    <cellStyle name="Normal 4 4 9 5" xfId="7626" xr:uid="{00000000-0005-0000-0000-0000D21B0000}"/>
    <cellStyle name="Normal 4 5" xfId="1145" xr:uid="{00000000-0005-0000-0000-0000D31B0000}"/>
    <cellStyle name="Normal 4 5 10" xfId="7627" xr:uid="{00000000-0005-0000-0000-0000D41B0000}"/>
    <cellStyle name="Normal 4 5 10 2" xfId="7628" xr:uid="{00000000-0005-0000-0000-0000D51B0000}"/>
    <cellStyle name="Normal 4 5 10 2 2" xfId="7629" xr:uid="{00000000-0005-0000-0000-0000D61B0000}"/>
    <cellStyle name="Normal 4 5 10 2 3" xfId="7630" xr:uid="{00000000-0005-0000-0000-0000D71B0000}"/>
    <cellStyle name="Normal 4 5 10 3" xfId="7631" xr:uid="{00000000-0005-0000-0000-0000D81B0000}"/>
    <cellStyle name="Normal 4 5 10 4" xfId="7632" xr:uid="{00000000-0005-0000-0000-0000D91B0000}"/>
    <cellStyle name="Normal 4 5 10 5" xfId="7633" xr:uid="{00000000-0005-0000-0000-0000DA1B0000}"/>
    <cellStyle name="Normal 4 5 11" xfId="7634" xr:uid="{00000000-0005-0000-0000-0000DB1B0000}"/>
    <cellStyle name="Normal 4 5 11 2" xfId="7635" xr:uid="{00000000-0005-0000-0000-0000DC1B0000}"/>
    <cellStyle name="Normal 4 5 11 3" xfId="7636" xr:uid="{00000000-0005-0000-0000-0000DD1B0000}"/>
    <cellStyle name="Normal 4 5 12" xfId="7637" xr:uid="{00000000-0005-0000-0000-0000DE1B0000}"/>
    <cellStyle name="Normal 4 5 13" xfId="7638" xr:uid="{00000000-0005-0000-0000-0000DF1B0000}"/>
    <cellStyle name="Normal 4 5 14" xfId="7639" xr:uid="{00000000-0005-0000-0000-0000E01B0000}"/>
    <cellStyle name="Normal 4 5 2" xfId="1248" xr:uid="{00000000-0005-0000-0000-0000E11B0000}"/>
    <cellStyle name="Normal 4 5 2 10" xfId="7640" xr:uid="{00000000-0005-0000-0000-0000E21B0000}"/>
    <cellStyle name="Normal 4 5 2 11" xfId="7641" xr:uid="{00000000-0005-0000-0000-0000E31B0000}"/>
    <cellStyle name="Normal 4 5 2 12" xfId="7642" xr:uid="{00000000-0005-0000-0000-0000E41B0000}"/>
    <cellStyle name="Normal 4 5 2 2" xfId="7643" xr:uid="{00000000-0005-0000-0000-0000E51B0000}"/>
    <cellStyle name="Normal 4 5 2 2 2" xfId="7644" xr:uid="{00000000-0005-0000-0000-0000E61B0000}"/>
    <cellStyle name="Normal 4 5 2 2 2 2" xfId="7645" xr:uid="{00000000-0005-0000-0000-0000E71B0000}"/>
    <cellStyle name="Normal 4 5 2 2 2 2 2" xfId="7646" xr:uid="{00000000-0005-0000-0000-0000E81B0000}"/>
    <cellStyle name="Normal 4 5 2 2 2 2 2 2" xfId="7647" xr:uid="{00000000-0005-0000-0000-0000E91B0000}"/>
    <cellStyle name="Normal 4 5 2 2 2 2 2 2 2" xfId="7648" xr:uid="{00000000-0005-0000-0000-0000EA1B0000}"/>
    <cellStyle name="Normal 4 5 2 2 2 2 2 2 3" xfId="7649" xr:uid="{00000000-0005-0000-0000-0000EB1B0000}"/>
    <cellStyle name="Normal 4 5 2 2 2 2 2 3" xfId="7650" xr:uid="{00000000-0005-0000-0000-0000EC1B0000}"/>
    <cellStyle name="Normal 4 5 2 2 2 2 2 4" xfId="7651" xr:uid="{00000000-0005-0000-0000-0000ED1B0000}"/>
    <cellStyle name="Normal 4 5 2 2 2 2 2 5" xfId="7652" xr:uid="{00000000-0005-0000-0000-0000EE1B0000}"/>
    <cellStyle name="Normal 4 5 2 2 2 2 3" xfId="7653" xr:uid="{00000000-0005-0000-0000-0000EF1B0000}"/>
    <cellStyle name="Normal 4 5 2 2 2 2 3 2" xfId="7654" xr:uid="{00000000-0005-0000-0000-0000F01B0000}"/>
    <cellStyle name="Normal 4 5 2 2 2 2 3 2 2" xfId="7655" xr:uid="{00000000-0005-0000-0000-0000F11B0000}"/>
    <cellStyle name="Normal 4 5 2 2 2 2 3 2 3" xfId="7656" xr:uid="{00000000-0005-0000-0000-0000F21B0000}"/>
    <cellStyle name="Normal 4 5 2 2 2 2 3 3" xfId="7657" xr:uid="{00000000-0005-0000-0000-0000F31B0000}"/>
    <cellStyle name="Normal 4 5 2 2 2 2 3 4" xfId="7658" xr:uid="{00000000-0005-0000-0000-0000F41B0000}"/>
    <cellStyle name="Normal 4 5 2 2 2 2 3 5" xfId="7659" xr:uid="{00000000-0005-0000-0000-0000F51B0000}"/>
    <cellStyle name="Normal 4 5 2 2 2 2 4" xfId="7660" xr:uid="{00000000-0005-0000-0000-0000F61B0000}"/>
    <cellStyle name="Normal 4 5 2 2 2 2 4 2" xfId="7661" xr:uid="{00000000-0005-0000-0000-0000F71B0000}"/>
    <cellStyle name="Normal 4 5 2 2 2 2 4 3" xfId="7662" xr:uid="{00000000-0005-0000-0000-0000F81B0000}"/>
    <cellStyle name="Normal 4 5 2 2 2 2 5" xfId="7663" xr:uid="{00000000-0005-0000-0000-0000F91B0000}"/>
    <cellStyle name="Normal 4 5 2 2 2 2 6" xfId="7664" xr:uid="{00000000-0005-0000-0000-0000FA1B0000}"/>
    <cellStyle name="Normal 4 5 2 2 2 2 7" xfId="7665" xr:uid="{00000000-0005-0000-0000-0000FB1B0000}"/>
    <cellStyle name="Normal 4 5 2 2 2 3" xfId="7666" xr:uid="{00000000-0005-0000-0000-0000FC1B0000}"/>
    <cellStyle name="Normal 4 5 2 2 2 3 2" xfId="7667" xr:uid="{00000000-0005-0000-0000-0000FD1B0000}"/>
    <cellStyle name="Normal 4 5 2 2 2 3 2 2" xfId="7668" xr:uid="{00000000-0005-0000-0000-0000FE1B0000}"/>
    <cellStyle name="Normal 4 5 2 2 2 3 2 3" xfId="7669" xr:uid="{00000000-0005-0000-0000-0000FF1B0000}"/>
    <cellStyle name="Normal 4 5 2 2 2 3 3" xfId="7670" xr:uid="{00000000-0005-0000-0000-0000001C0000}"/>
    <cellStyle name="Normal 4 5 2 2 2 3 4" xfId="7671" xr:uid="{00000000-0005-0000-0000-0000011C0000}"/>
    <cellStyle name="Normal 4 5 2 2 2 3 5" xfId="7672" xr:uid="{00000000-0005-0000-0000-0000021C0000}"/>
    <cellStyle name="Normal 4 5 2 2 2 4" xfId="7673" xr:uid="{00000000-0005-0000-0000-0000031C0000}"/>
    <cellStyle name="Normal 4 5 2 2 2 4 2" xfId="7674" xr:uid="{00000000-0005-0000-0000-0000041C0000}"/>
    <cellStyle name="Normal 4 5 2 2 2 4 2 2" xfId="7675" xr:uid="{00000000-0005-0000-0000-0000051C0000}"/>
    <cellStyle name="Normal 4 5 2 2 2 4 2 3" xfId="7676" xr:uid="{00000000-0005-0000-0000-0000061C0000}"/>
    <cellStyle name="Normal 4 5 2 2 2 4 3" xfId="7677" xr:uid="{00000000-0005-0000-0000-0000071C0000}"/>
    <cellStyle name="Normal 4 5 2 2 2 4 4" xfId="7678" xr:uid="{00000000-0005-0000-0000-0000081C0000}"/>
    <cellStyle name="Normal 4 5 2 2 2 4 5" xfId="7679" xr:uid="{00000000-0005-0000-0000-0000091C0000}"/>
    <cellStyle name="Normal 4 5 2 2 2 5" xfId="7680" xr:uid="{00000000-0005-0000-0000-00000A1C0000}"/>
    <cellStyle name="Normal 4 5 2 2 2 5 2" xfId="7681" xr:uid="{00000000-0005-0000-0000-00000B1C0000}"/>
    <cellStyle name="Normal 4 5 2 2 2 5 3" xfId="7682" xr:uid="{00000000-0005-0000-0000-00000C1C0000}"/>
    <cellStyle name="Normal 4 5 2 2 2 6" xfId="7683" xr:uid="{00000000-0005-0000-0000-00000D1C0000}"/>
    <cellStyle name="Normal 4 5 2 2 2 7" xfId="7684" xr:uid="{00000000-0005-0000-0000-00000E1C0000}"/>
    <cellStyle name="Normal 4 5 2 2 2 8" xfId="7685" xr:uid="{00000000-0005-0000-0000-00000F1C0000}"/>
    <cellStyle name="Normal 4 5 2 2 3" xfId="7686" xr:uid="{00000000-0005-0000-0000-0000101C0000}"/>
    <cellStyle name="Normal 4 5 2 2 3 2" xfId="7687" xr:uid="{00000000-0005-0000-0000-0000111C0000}"/>
    <cellStyle name="Normal 4 5 2 2 3 2 2" xfId="7688" xr:uid="{00000000-0005-0000-0000-0000121C0000}"/>
    <cellStyle name="Normal 4 5 2 2 3 2 2 2" xfId="7689" xr:uid="{00000000-0005-0000-0000-0000131C0000}"/>
    <cellStyle name="Normal 4 5 2 2 3 2 2 3" xfId="7690" xr:uid="{00000000-0005-0000-0000-0000141C0000}"/>
    <cellStyle name="Normal 4 5 2 2 3 2 3" xfId="7691" xr:uid="{00000000-0005-0000-0000-0000151C0000}"/>
    <cellStyle name="Normal 4 5 2 2 3 2 4" xfId="7692" xr:uid="{00000000-0005-0000-0000-0000161C0000}"/>
    <cellStyle name="Normal 4 5 2 2 3 2 5" xfId="7693" xr:uid="{00000000-0005-0000-0000-0000171C0000}"/>
    <cellStyle name="Normal 4 5 2 2 3 3" xfId="7694" xr:uid="{00000000-0005-0000-0000-0000181C0000}"/>
    <cellStyle name="Normal 4 5 2 2 3 3 2" xfId="7695" xr:uid="{00000000-0005-0000-0000-0000191C0000}"/>
    <cellStyle name="Normal 4 5 2 2 3 3 2 2" xfId="7696" xr:uid="{00000000-0005-0000-0000-00001A1C0000}"/>
    <cellStyle name="Normal 4 5 2 2 3 3 2 3" xfId="7697" xr:uid="{00000000-0005-0000-0000-00001B1C0000}"/>
    <cellStyle name="Normal 4 5 2 2 3 3 3" xfId="7698" xr:uid="{00000000-0005-0000-0000-00001C1C0000}"/>
    <cellStyle name="Normal 4 5 2 2 3 3 4" xfId="7699" xr:uid="{00000000-0005-0000-0000-00001D1C0000}"/>
    <cellStyle name="Normal 4 5 2 2 3 3 5" xfId="7700" xr:uid="{00000000-0005-0000-0000-00001E1C0000}"/>
    <cellStyle name="Normal 4 5 2 2 3 4" xfId="7701" xr:uid="{00000000-0005-0000-0000-00001F1C0000}"/>
    <cellStyle name="Normal 4 5 2 2 3 4 2" xfId="7702" xr:uid="{00000000-0005-0000-0000-0000201C0000}"/>
    <cellStyle name="Normal 4 5 2 2 3 4 3" xfId="7703" xr:uid="{00000000-0005-0000-0000-0000211C0000}"/>
    <cellStyle name="Normal 4 5 2 2 3 5" xfId="7704" xr:uid="{00000000-0005-0000-0000-0000221C0000}"/>
    <cellStyle name="Normal 4 5 2 2 3 6" xfId="7705" xr:uid="{00000000-0005-0000-0000-0000231C0000}"/>
    <cellStyle name="Normal 4 5 2 2 3 7" xfId="7706" xr:uid="{00000000-0005-0000-0000-0000241C0000}"/>
    <cellStyle name="Normal 4 5 2 2 4" xfId="7707" xr:uid="{00000000-0005-0000-0000-0000251C0000}"/>
    <cellStyle name="Normal 4 5 2 2 4 2" xfId="7708" xr:uid="{00000000-0005-0000-0000-0000261C0000}"/>
    <cellStyle name="Normal 4 5 2 2 4 2 2" xfId="7709" xr:uid="{00000000-0005-0000-0000-0000271C0000}"/>
    <cellStyle name="Normal 4 5 2 2 4 2 3" xfId="7710" xr:uid="{00000000-0005-0000-0000-0000281C0000}"/>
    <cellStyle name="Normal 4 5 2 2 4 3" xfId="7711" xr:uid="{00000000-0005-0000-0000-0000291C0000}"/>
    <cellStyle name="Normal 4 5 2 2 4 4" xfId="7712" xr:uid="{00000000-0005-0000-0000-00002A1C0000}"/>
    <cellStyle name="Normal 4 5 2 2 4 5" xfId="7713" xr:uid="{00000000-0005-0000-0000-00002B1C0000}"/>
    <cellStyle name="Normal 4 5 2 2 5" xfId="7714" xr:uid="{00000000-0005-0000-0000-00002C1C0000}"/>
    <cellStyle name="Normal 4 5 2 2 5 2" xfId="7715" xr:uid="{00000000-0005-0000-0000-00002D1C0000}"/>
    <cellStyle name="Normal 4 5 2 2 5 2 2" xfId="7716" xr:uid="{00000000-0005-0000-0000-00002E1C0000}"/>
    <cellStyle name="Normal 4 5 2 2 5 2 3" xfId="7717" xr:uid="{00000000-0005-0000-0000-00002F1C0000}"/>
    <cellStyle name="Normal 4 5 2 2 5 3" xfId="7718" xr:uid="{00000000-0005-0000-0000-0000301C0000}"/>
    <cellStyle name="Normal 4 5 2 2 5 4" xfId="7719" xr:uid="{00000000-0005-0000-0000-0000311C0000}"/>
    <cellStyle name="Normal 4 5 2 2 5 5" xfId="7720" xr:uid="{00000000-0005-0000-0000-0000321C0000}"/>
    <cellStyle name="Normal 4 5 2 2 6" xfId="7721" xr:uid="{00000000-0005-0000-0000-0000331C0000}"/>
    <cellStyle name="Normal 4 5 2 2 6 2" xfId="7722" xr:uid="{00000000-0005-0000-0000-0000341C0000}"/>
    <cellStyle name="Normal 4 5 2 2 6 3" xfId="7723" xr:uid="{00000000-0005-0000-0000-0000351C0000}"/>
    <cellStyle name="Normal 4 5 2 2 7" xfId="7724" xr:uid="{00000000-0005-0000-0000-0000361C0000}"/>
    <cellStyle name="Normal 4 5 2 2 8" xfId="7725" xr:uid="{00000000-0005-0000-0000-0000371C0000}"/>
    <cellStyle name="Normal 4 5 2 2 9" xfId="7726" xr:uid="{00000000-0005-0000-0000-0000381C0000}"/>
    <cellStyle name="Normal 4 5 2 3" xfId="7727" xr:uid="{00000000-0005-0000-0000-0000391C0000}"/>
    <cellStyle name="Normal 4 5 2 3 2" xfId="7728" xr:uid="{00000000-0005-0000-0000-00003A1C0000}"/>
    <cellStyle name="Normal 4 5 2 3 2 2" xfId="7729" xr:uid="{00000000-0005-0000-0000-00003B1C0000}"/>
    <cellStyle name="Normal 4 5 2 3 2 2 2" xfId="7730" xr:uid="{00000000-0005-0000-0000-00003C1C0000}"/>
    <cellStyle name="Normal 4 5 2 3 2 2 2 2" xfId="7731" xr:uid="{00000000-0005-0000-0000-00003D1C0000}"/>
    <cellStyle name="Normal 4 5 2 3 2 2 2 2 2" xfId="7732" xr:uid="{00000000-0005-0000-0000-00003E1C0000}"/>
    <cellStyle name="Normal 4 5 2 3 2 2 2 2 3" xfId="7733" xr:uid="{00000000-0005-0000-0000-00003F1C0000}"/>
    <cellStyle name="Normal 4 5 2 3 2 2 2 3" xfId="7734" xr:uid="{00000000-0005-0000-0000-0000401C0000}"/>
    <cellStyle name="Normal 4 5 2 3 2 2 2 4" xfId="7735" xr:uid="{00000000-0005-0000-0000-0000411C0000}"/>
    <cellStyle name="Normal 4 5 2 3 2 2 2 5" xfId="7736" xr:uid="{00000000-0005-0000-0000-0000421C0000}"/>
    <cellStyle name="Normal 4 5 2 3 2 2 3" xfId="7737" xr:uid="{00000000-0005-0000-0000-0000431C0000}"/>
    <cellStyle name="Normal 4 5 2 3 2 2 3 2" xfId="7738" xr:uid="{00000000-0005-0000-0000-0000441C0000}"/>
    <cellStyle name="Normal 4 5 2 3 2 2 3 2 2" xfId="7739" xr:uid="{00000000-0005-0000-0000-0000451C0000}"/>
    <cellStyle name="Normal 4 5 2 3 2 2 3 2 3" xfId="7740" xr:uid="{00000000-0005-0000-0000-0000461C0000}"/>
    <cellStyle name="Normal 4 5 2 3 2 2 3 3" xfId="7741" xr:uid="{00000000-0005-0000-0000-0000471C0000}"/>
    <cellStyle name="Normal 4 5 2 3 2 2 3 4" xfId="7742" xr:uid="{00000000-0005-0000-0000-0000481C0000}"/>
    <cellStyle name="Normal 4 5 2 3 2 2 3 5" xfId="7743" xr:uid="{00000000-0005-0000-0000-0000491C0000}"/>
    <cellStyle name="Normal 4 5 2 3 2 2 4" xfId="7744" xr:uid="{00000000-0005-0000-0000-00004A1C0000}"/>
    <cellStyle name="Normal 4 5 2 3 2 2 4 2" xfId="7745" xr:uid="{00000000-0005-0000-0000-00004B1C0000}"/>
    <cellStyle name="Normal 4 5 2 3 2 2 4 3" xfId="7746" xr:uid="{00000000-0005-0000-0000-00004C1C0000}"/>
    <cellStyle name="Normal 4 5 2 3 2 2 5" xfId="7747" xr:uid="{00000000-0005-0000-0000-00004D1C0000}"/>
    <cellStyle name="Normal 4 5 2 3 2 2 6" xfId="7748" xr:uid="{00000000-0005-0000-0000-00004E1C0000}"/>
    <cellStyle name="Normal 4 5 2 3 2 2 7" xfId="7749" xr:uid="{00000000-0005-0000-0000-00004F1C0000}"/>
    <cellStyle name="Normal 4 5 2 3 2 3" xfId="7750" xr:uid="{00000000-0005-0000-0000-0000501C0000}"/>
    <cellStyle name="Normal 4 5 2 3 2 3 2" xfId="7751" xr:uid="{00000000-0005-0000-0000-0000511C0000}"/>
    <cellStyle name="Normal 4 5 2 3 2 3 2 2" xfId="7752" xr:uid="{00000000-0005-0000-0000-0000521C0000}"/>
    <cellStyle name="Normal 4 5 2 3 2 3 2 3" xfId="7753" xr:uid="{00000000-0005-0000-0000-0000531C0000}"/>
    <cellStyle name="Normal 4 5 2 3 2 3 3" xfId="7754" xr:uid="{00000000-0005-0000-0000-0000541C0000}"/>
    <cellStyle name="Normal 4 5 2 3 2 3 4" xfId="7755" xr:uid="{00000000-0005-0000-0000-0000551C0000}"/>
    <cellStyle name="Normal 4 5 2 3 2 3 5" xfId="7756" xr:uid="{00000000-0005-0000-0000-0000561C0000}"/>
    <cellStyle name="Normal 4 5 2 3 2 4" xfId="7757" xr:uid="{00000000-0005-0000-0000-0000571C0000}"/>
    <cellStyle name="Normal 4 5 2 3 2 4 2" xfId="7758" xr:uid="{00000000-0005-0000-0000-0000581C0000}"/>
    <cellStyle name="Normal 4 5 2 3 2 4 2 2" xfId="7759" xr:uid="{00000000-0005-0000-0000-0000591C0000}"/>
    <cellStyle name="Normal 4 5 2 3 2 4 2 3" xfId="7760" xr:uid="{00000000-0005-0000-0000-00005A1C0000}"/>
    <cellStyle name="Normal 4 5 2 3 2 4 3" xfId="7761" xr:uid="{00000000-0005-0000-0000-00005B1C0000}"/>
    <cellStyle name="Normal 4 5 2 3 2 4 4" xfId="7762" xr:uid="{00000000-0005-0000-0000-00005C1C0000}"/>
    <cellStyle name="Normal 4 5 2 3 2 4 5" xfId="7763" xr:uid="{00000000-0005-0000-0000-00005D1C0000}"/>
    <cellStyle name="Normal 4 5 2 3 2 5" xfId="7764" xr:uid="{00000000-0005-0000-0000-00005E1C0000}"/>
    <cellStyle name="Normal 4 5 2 3 2 5 2" xfId="7765" xr:uid="{00000000-0005-0000-0000-00005F1C0000}"/>
    <cellStyle name="Normal 4 5 2 3 2 5 3" xfId="7766" xr:uid="{00000000-0005-0000-0000-0000601C0000}"/>
    <cellStyle name="Normal 4 5 2 3 2 6" xfId="7767" xr:uid="{00000000-0005-0000-0000-0000611C0000}"/>
    <cellStyle name="Normal 4 5 2 3 2 7" xfId="7768" xr:uid="{00000000-0005-0000-0000-0000621C0000}"/>
    <cellStyle name="Normal 4 5 2 3 2 8" xfId="7769" xr:uid="{00000000-0005-0000-0000-0000631C0000}"/>
    <cellStyle name="Normal 4 5 2 3 3" xfId="7770" xr:uid="{00000000-0005-0000-0000-0000641C0000}"/>
    <cellStyle name="Normal 4 5 2 3 3 2" xfId="7771" xr:uid="{00000000-0005-0000-0000-0000651C0000}"/>
    <cellStyle name="Normal 4 5 2 3 3 2 2" xfId="7772" xr:uid="{00000000-0005-0000-0000-0000661C0000}"/>
    <cellStyle name="Normal 4 5 2 3 3 2 2 2" xfId="7773" xr:uid="{00000000-0005-0000-0000-0000671C0000}"/>
    <cellStyle name="Normal 4 5 2 3 3 2 2 3" xfId="7774" xr:uid="{00000000-0005-0000-0000-0000681C0000}"/>
    <cellStyle name="Normal 4 5 2 3 3 2 3" xfId="7775" xr:uid="{00000000-0005-0000-0000-0000691C0000}"/>
    <cellStyle name="Normal 4 5 2 3 3 2 4" xfId="7776" xr:uid="{00000000-0005-0000-0000-00006A1C0000}"/>
    <cellStyle name="Normal 4 5 2 3 3 2 5" xfId="7777" xr:uid="{00000000-0005-0000-0000-00006B1C0000}"/>
    <cellStyle name="Normal 4 5 2 3 3 3" xfId="7778" xr:uid="{00000000-0005-0000-0000-00006C1C0000}"/>
    <cellStyle name="Normal 4 5 2 3 3 3 2" xfId="7779" xr:uid="{00000000-0005-0000-0000-00006D1C0000}"/>
    <cellStyle name="Normal 4 5 2 3 3 3 2 2" xfId="7780" xr:uid="{00000000-0005-0000-0000-00006E1C0000}"/>
    <cellStyle name="Normal 4 5 2 3 3 3 2 3" xfId="7781" xr:uid="{00000000-0005-0000-0000-00006F1C0000}"/>
    <cellStyle name="Normal 4 5 2 3 3 3 3" xfId="7782" xr:uid="{00000000-0005-0000-0000-0000701C0000}"/>
    <cellStyle name="Normal 4 5 2 3 3 3 4" xfId="7783" xr:uid="{00000000-0005-0000-0000-0000711C0000}"/>
    <cellStyle name="Normal 4 5 2 3 3 3 5" xfId="7784" xr:uid="{00000000-0005-0000-0000-0000721C0000}"/>
    <cellStyle name="Normal 4 5 2 3 3 4" xfId="7785" xr:uid="{00000000-0005-0000-0000-0000731C0000}"/>
    <cellStyle name="Normal 4 5 2 3 3 4 2" xfId="7786" xr:uid="{00000000-0005-0000-0000-0000741C0000}"/>
    <cellStyle name="Normal 4 5 2 3 3 4 3" xfId="7787" xr:uid="{00000000-0005-0000-0000-0000751C0000}"/>
    <cellStyle name="Normal 4 5 2 3 3 5" xfId="7788" xr:uid="{00000000-0005-0000-0000-0000761C0000}"/>
    <cellStyle name="Normal 4 5 2 3 3 6" xfId="7789" xr:uid="{00000000-0005-0000-0000-0000771C0000}"/>
    <cellStyle name="Normal 4 5 2 3 3 7" xfId="7790" xr:uid="{00000000-0005-0000-0000-0000781C0000}"/>
    <cellStyle name="Normal 4 5 2 3 4" xfId="7791" xr:uid="{00000000-0005-0000-0000-0000791C0000}"/>
    <cellStyle name="Normal 4 5 2 3 4 2" xfId="7792" xr:uid="{00000000-0005-0000-0000-00007A1C0000}"/>
    <cellStyle name="Normal 4 5 2 3 4 2 2" xfId="7793" xr:uid="{00000000-0005-0000-0000-00007B1C0000}"/>
    <cellStyle name="Normal 4 5 2 3 4 2 3" xfId="7794" xr:uid="{00000000-0005-0000-0000-00007C1C0000}"/>
    <cellStyle name="Normal 4 5 2 3 4 3" xfId="7795" xr:uid="{00000000-0005-0000-0000-00007D1C0000}"/>
    <cellStyle name="Normal 4 5 2 3 4 4" xfId="7796" xr:uid="{00000000-0005-0000-0000-00007E1C0000}"/>
    <cellStyle name="Normal 4 5 2 3 4 5" xfId="7797" xr:uid="{00000000-0005-0000-0000-00007F1C0000}"/>
    <cellStyle name="Normal 4 5 2 3 5" xfId="7798" xr:uid="{00000000-0005-0000-0000-0000801C0000}"/>
    <cellStyle name="Normal 4 5 2 3 5 2" xfId="7799" xr:uid="{00000000-0005-0000-0000-0000811C0000}"/>
    <cellStyle name="Normal 4 5 2 3 5 2 2" xfId="7800" xr:uid="{00000000-0005-0000-0000-0000821C0000}"/>
    <cellStyle name="Normal 4 5 2 3 5 2 3" xfId="7801" xr:uid="{00000000-0005-0000-0000-0000831C0000}"/>
    <cellStyle name="Normal 4 5 2 3 5 3" xfId="7802" xr:uid="{00000000-0005-0000-0000-0000841C0000}"/>
    <cellStyle name="Normal 4 5 2 3 5 4" xfId="7803" xr:uid="{00000000-0005-0000-0000-0000851C0000}"/>
    <cellStyle name="Normal 4 5 2 3 5 5" xfId="7804" xr:uid="{00000000-0005-0000-0000-0000861C0000}"/>
    <cellStyle name="Normal 4 5 2 3 6" xfId="7805" xr:uid="{00000000-0005-0000-0000-0000871C0000}"/>
    <cellStyle name="Normal 4 5 2 3 6 2" xfId="7806" xr:uid="{00000000-0005-0000-0000-0000881C0000}"/>
    <cellStyle name="Normal 4 5 2 3 6 3" xfId="7807" xr:uid="{00000000-0005-0000-0000-0000891C0000}"/>
    <cellStyle name="Normal 4 5 2 3 7" xfId="7808" xr:uid="{00000000-0005-0000-0000-00008A1C0000}"/>
    <cellStyle name="Normal 4 5 2 3 8" xfId="7809" xr:uid="{00000000-0005-0000-0000-00008B1C0000}"/>
    <cellStyle name="Normal 4 5 2 3 9" xfId="7810" xr:uid="{00000000-0005-0000-0000-00008C1C0000}"/>
    <cellStyle name="Normal 4 5 2 4" xfId="7811" xr:uid="{00000000-0005-0000-0000-00008D1C0000}"/>
    <cellStyle name="Normal 4 5 2 4 2" xfId="7812" xr:uid="{00000000-0005-0000-0000-00008E1C0000}"/>
    <cellStyle name="Normal 4 5 2 4 2 2" xfId="7813" xr:uid="{00000000-0005-0000-0000-00008F1C0000}"/>
    <cellStyle name="Normal 4 5 2 4 2 2 2" xfId="7814" xr:uid="{00000000-0005-0000-0000-0000901C0000}"/>
    <cellStyle name="Normal 4 5 2 4 2 2 2 2" xfId="7815" xr:uid="{00000000-0005-0000-0000-0000911C0000}"/>
    <cellStyle name="Normal 4 5 2 4 2 2 2 2 2" xfId="7816" xr:uid="{00000000-0005-0000-0000-0000921C0000}"/>
    <cellStyle name="Normal 4 5 2 4 2 2 2 2 3" xfId="7817" xr:uid="{00000000-0005-0000-0000-0000931C0000}"/>
    <cellStyle name="Normal 4 5 2 4 2 2 2 3" xfId="7818" xr:uid="{00000000-0005-0000-0000-0000941C0000}"/>
    <cellStyle name="Normal 4 5 2 4 2 2 2 4" xfId="7819" xr:uid="{00000000-0005-0000-0000-0000951C0000}"/>
    <cellStyle name="Normal 4 5 2 4 2 2 2 5" xfId="7820" xr:uid="{00000000-0005-0000-0000-0000961C0000}"/>
    <cellStyle name="Normal 4 5 2 4 2 2 3" xfId="7821" xr:uid="{00000000-0005-0000-0000-0000971C0000}"/>
    <cellStyle name="Normal 4 5 2 4 2 2 3 2" xfId="7822" xr:uid="{00000000-0005-0000-0000-0000981C0000}"/>
    <cellStyle name="Normal 4 5 2 4 2 2 3 2 2" xfId="7823" xr:uid="{00000000-0005-0000-0000-0000991C0000}"/>
    <cellStyle name="Normal 4 5 2 4 2 2 3 2 3" xfId="7824" xr:uid="{00000000-0005-0000-0000-00009A1C0000}"/>
    <cellStyle name="Normal 4 5 2 4 2 2 3 3" xfId="7825" xr:uid="{00000000-0005-0000-0000-00009B1C0000}"/>
    <cellStyle name="Normal 4 5 2 4 2 2 3 4" xfId="7826" xr:uid="{00000000-0005-0000-0000-00009C1C0000}"/>
    <cellStyle name="Normal 4 5 2 4 2 2 3 5" xfId="7827" xr:uid="{00000000-0005-0000-0000-00009D1C0000}"/>
    <cellStyle name="Normal 4 5 2 4 2 2 4" xfId="7828" xr:uid="{00000000-0005-0000-0000-00009E1C0000}"/>
    <cellStyle name="Normal 4 5 2 4 2 2 4 2" xfId="7829" xr:uid="{00000000-0005-0000-0000-00009F1C0000}"/>
    <cellStyle name="Normal 4 5 2 4 2 2 4 3" xfId="7830" xr:uid="{00000000-0005-0000-0000-0000A01C0000}"/>
    <cellStyle name="Normal 4 5 2 4 2 2 5" xfId="7831" xr:uid="{00000000-0005-0000-0000-0000A11C0000}"/>
    <cellStyle name="Normal 4 5 2 4 2 2 6" xfId="7832" xr:uid="{00000000-0005-0000-0000-0000A21C0000}"/>
    <cellStyle name="Normal 4 5 2 4 2 2 7" xfId="7833" xr:uid="{00000000-0005-0000-0000-0000A31C0000}"/>
    <cellStyle name="Normal 4 5 2 4 2 3" xfId="7834" xr:uid="{00000000-0005-0000-0000-0000A41C0000}"/>
    <cellStyle name="Normal 4 5 2 4 2 3 2" xfId="7835" xr:uid="{00000000-0005-0000-0000-0000A51C0000}"/>
    <cellStyle name="Normal 4 5 2 4 2 3 2 2" xfId="7836" xr:uid="{00000000-0005-0000-0000-0000A61C0000}"/>
    <cellStyle name="Normal 4 5 2 4 2 3 2 3" xfId="7837" xr:uid="{00000000-0005-0000-0000-0000A71C0000}"/>
    <cellStyle name="Normal 4 5 2 4 2 3 3" xfId="7838" xr:uid="{00000000-0005-0000-0000-0000A81C0000}"/>
    <cellStyle name="Normal 4 5 2 4 2 3 4" xfId="7839" xr:uid="{00000000-0005-0000-0000-0000A91C0000}"/>
    <cellStyle name="Normal 4 5 2 4 2 3 5" xfId="7840" xr:uid="{00000000-0005-0000-0000-0000AA1C0000}"/>
    <cellStyle name="Normal 4 5 2 4 2 4" xfId="7841" xr:uid="{00000000-0005-0000-0000-0000AB1C0000}"/>
    <cellStyle name="Normal 4 5 2 4 2 4 2" xfId="7842" xr:uid="{00000000-0005-0000-0000-0000AC1C0000}"/>
    <cellStyle name="Normal 4 5 2 4 2 4 2 2" xfId="7843" xr:uid="{00000000-0005-0000-0000-0000AD1C0000}"/>
    <cellStyle name="Normal 4 5 2 4 2 4 2 3" xfId="7844" xr:uid="{00000000-0005-0000-0000-0000AE1C0000}"/>
    <cellStyle name="Normal 4 5 2 4 2 4 3" xfId="7845" xr:uid="{00000000-0005-0000-0000-0000AF1C0000}"/>
    <cellStyle name="Normal 4 5 2 4 2 4 4" xfId="7846" xr:uid="{00000000-0005-0000-0000-0000B01C0000}"/>
    <cellStyle name="Normal 4 5 2 4 2 4 5" xfId="7847" xr:uid="{00000000-0005-0000-0000-0000B11C0000}"/>
    <cellStyle name="Normal 4 5 2 4 2 5" xfId="7848" xr:uid="{00000000-0005-0000-0000-0000B21C0000}"/>
    <cellStyle name="Normal 4 5 2 4 2 5 2" xfId="7849" xr:uid="{00000000-0005-0000-0000-0000B31C0000}"/>
    <cellStyle name="Normal 4 5 2 4 2 5 3" xfId="7850" xr:uid="{00000000-0005-0000-0000-0000B41C0000}"/>
    <cellStyle name="Normal 4 5 2 4 2 6" xfId="7851" xr:uid="{00000000-0005-0000-0000-0000B51C0000}"/>
    <cellStyle name="Normal 4 5 2 4 2 7" xfId="7852" xr:uid="{00000000-0005-0000-0000-0000B61C0000}"/>
    <cellStyle name="Normal 4 5 2 4 2 8" xfId="7853" xr:uid="{00000000-0005-0000-0000-0000B71C0000}"/>
    <cellStyle name="Normal 4 5 2 4 3" xfId="7854" xr:uid="{00000000-0005-0000-0000-0000B81C0000}"/>
    <cellStyle name="Normal 4 5 2 4 3 2" xfId="7855" xr:uid="{00000000-0005-0000-0000-0000B91C0000}"/>
    <cellStyle name="Normal 4 5 2 4 3 2 2" xfId="7856" xr:uid="{00000000-0005-0000-0000-0000BA1C0000}"/>
    <cellStyle name="Normal 4 5 2 4 3 2 2 2" xfId="7857" xr:uid="{00000000-0005-0000-0000-0000BB1C0000}"/>
    <cellStyle name="Normal 4 5 2 4 3 2 2 3" xfId="7858" xr:uid="{00000000-0005-0000-0000-0000BC1C0000}"/>
    <cellStyle name="Normal 4 5 2 4 3 2 3" xfId="7859" xr:uid="{00000000-0005-0000-0000-0000BD1C0000}"/>
    <cellStyle name="Normal 4 5 2 4 3 2 4" xfId="7860" xr:uid="{00000000-0005-0000-0000-0000BE1C0000}"/>
    <cellStyle name="Normal 4 5 2 4 3 2 5" xfId="7861" xr:uid="{00000000-0005-0000-0000-0000BF1C0000}"/>
    <cellStyle name="Normal 4 5 2 4 3 3" xfId="7862" xr:uid="{00000000-0005-0000-0000-0000C01C0000}"/>
    <cellStyle name="Normal 4 5 2 4 3 3 2" xfId="7863" xr:uid="{00000000-0005-0000-0000-0000C11C0000}"/>
    <cellStyle name="Normal 4 5 2 4 3 3 2 2" xfId="7864" xr:uid="{00000000-0005-0000-0000-0000C21C0000}"/>
    <cellStyle name="Normal 4 5 2 4 3 3 2 3" xfId="7865" xr:uid="{00000000-0005-0000-0000-0000C31C0000}"/>
    <cellStyle name="Normal 4 5 2 4 3 3 3" xfId="7866" xr:uid="{00000000-0005-0000-0000-0000C41C0000}"/>
    <cellStyle name="Normal 4 5 2 4 3 3 4" xfId="7867" xr:uid="{00000000-0005-0000-0000-0000C51C0000}"/>
    <cellStyle name="Normal 4 5 2 4 3 3 5" xfId="7868" xr:uid="{00000000-0005-0000-0000-0000C61C0000}"/>
    <cellStyle name="Normal 4 5 2 4 3 4" xfId="7869" xr:uid="{00000000-0005-0000-0000-0000C71C0000}"/>
    <cellStyle name="Normal 4 5 2 4 3 4 2" xfId="7870" xr:uid="{00000000-0005-0000-0000-0000C81C0000}"/>
    <cellStyle name="Normal 4 5 2 4 3 4 3" xfId="7871" xr:uid="{00000000-0005-0000-0000-0000C91C0000}"/>
    <cellStyle name="Normal 4 5 2 4 3 5" xfId="7872" xr:uid="{00000000-0005-0000-0000-0000CA1C0000}"/>
    <cellStyle name="Normal 4 5 2 4 3 6" xfId="7873" xr:uid="{00000000-0005-0000-0000-0000CB1C0000}"/>
    <cellStyle name="Normal 4 5 2 4 3 7" xfId="7874" xr:uid="{00000000-0005-0000-0000-0000CC1C0000}"/>
    <cellStyle name="Normal 4 5 2 4 4" xfId="7875" xr:uid="{00000000-0005-0000-0000-0000CD1C0000}"/>
    <cellStyle name="Normal 4 5 2 4 4 2" xfId="7876" xr:uid="{00000000-0005-0000-0000-0000CE1C0000}"/>
    <cellStyle name="Normal 4 5 2 4 4 2 2" xfId="7877" xr:uid="{00000000-0005-0000-0000-0000CF1C0000}"/>
    <cellStyle name="Normal 4 5 2 4 4 2 3" xfId="7878" xr:uid="{00000000-0005-0000-0000-0000D01C0000}"/>
    <cellStyle name="Normal 4 5 2 4 4 3" xfId="7879" xr:uid="{00000000-0005-0000-0000-0000D11C0000}"/>
    <cellStyle name="Normal 4 5 2 4 4 4" xfId="7880" xr:uid="{00000000-0005-0000-0000-0000D21C0000}"/>
    <cellStyle name="Normal 4 5 2 4 4 5" xfId="7881" xr:uid="{00000000-0005-0000-0000-0000D31C0000}"/>
    <cellStyle name="Normal 4 5 2 4 5" xfId="7882" xr:uid="{00000000-0005-0000-0000-0000D41C0000}"/>
    <cellStyle name="Normal 4 5 2 4 5 2" xfId="7883" xr:uid="{00000000-0005-0000-0000-0000D51C0000}"/>
    <cellStyle name="Normal 4 5 2 4 5 2 2" xfId="7884" xr:uid="{00000000-0005-0000-0000-0000D61C0000}"/>
    <cellStyle name="Normal 4 5 2 4 5 2 3" xfId="7885" xr:uid="{00000000-0005-0000-0000-0000D71C0000}"/>
    <cellStyle name="Normal 4 5 2 4 5 3" xfId="7886" xr:uid="{00000000-0005-0000-0000-0000D81C0000}"/>
    <cellStyle name="Normal 4 5 2 4 5 4" xfId="7887" xr:uid="{00000000-0005-0000-0000-0000D91C0000}"/>
    <cellStyle name="Normal 4 5 2 4 5 5" xfId="7888" xr:uid="{00000000-0005-0000-0000-0000DA1C0000}"/>
    <cellStyle name="Normal 4 5 2 4 6" xfId="7889" xr:uid="{00000000-0005-0000-0000-0000DB1C0000}"/>
    <cellStyle name="Normal 4 5 2 4 6 2" xfId="7890" xr:uid="{00000000-0005-0000-0000-0000DC1C0000}"/>
    <cellStyle name="Normal 4 5 2 4 6 3" xfId="7891" xr:uid="{00000000-0005-0000-0000-0000DD1C0000}"/>
    <cellStyle name="Normal 4 5 2 4 7" xfId="7892" xr:uid="{00000000-0005-0000-0000-0000DE1C0000}"/>
    <cellStyle name="Normal 4 5 2 4 8" xfId="7893" xr:uid="{00000000-0005-0000-0000-0000DF1C0000}"/>
    <cellStyle name="Normal 4 5 2 4 9" xfId="7894" xr:uid="{00000000-0005-0000-0000-0000E01C0000}"/>
    <cellStyle name="Normal 4 5 2 5" xfId="7895" xr:uid="{00000000-0005-0000-0000-0000E11C0000}"/>
    <cellStyle name="Normal 4 5 2 5 2" xfId="7896" xr:uid="{00000000-0005-0000-0000-0000E21C0000}"/>
    <cellStyle name="Normal 4 5 2 5 2 2" xfId="7897" xr:uid="{00000000-0005-0000-0000-0000E31C0000}"/>
    <cellStyle name="Normal 4 5 2 5 2 2 2" xfId="7898" xr:uid="{00000000-0005-0000-0000-0000E41C0000}"/>
    <cellStyle name="Normal 4 5 2 5 2 2 2 2" xfId="7899" xr:uid="{00000000-0005-0000-0000-0000E51C0000}"/>
    <cellStyle name="Normal 4 5 2 5 2 2 2 3" xfId="7900" xr:uid="{00000000-0005-0000-0000-0000E61C0000}"/>
    <cellStyle name="Normal 4 5 2 5 2 2 3" xfId="7901" xr:uid="{00000000-0005-0000-0000-0000E71C0000}"/>
    <cellStyle name="Normal 4 5 2 5 2 2 4" xfId="7902" xr:uid="{00000000-0005-0000-0000-0000E81C0000}"/>
    <cellStyle name="Normal 4 5 2 5 2 2 5" xfId="7903" xr:uid="{00000000-0005-0000-0000-0000E91C0000}"/>
    <cellStyle name="Normal 4 5 2 5 2 3" xfId="7904" xr:uid="{00000000-0005-0000-0000-0000EA1C0000}"/>
    <cellStyle name="Normal 4 5 2 5 2 3 2" xfId="7905" xr:uid="{00000000-0005-0000-0000-0000EB1C0000}"/>
    <cellStyle name="Normal 4 5 2 5 2 3 2 2" xfId="7906" xr:uid="{00000000-0005-0000-0000-0000EC1C0000}"/>
    <cellStyle name="Normal 4 5 2 5 2 3 2 3" xfId="7907" xr:uid="{00000000-0005-0000-0000-0000ED1C0000}"/>
    <cellStyle name="Normal 4 5 2 5 2 3 3" xfId="7908" xr:uid="{00000000-0005-0000-0000-0000EE1C0000}"/>
    <cellStyle name="Normal 4 5 2 5 2 3 4" xfId="7909" xr:uid="{00000000-0005-0000-0000-0000EF1C0000}"/>
    <cellStyle name="Normal 4 5 2 5 2 3 5" xfId="7910" xr:uid="{00000000-0005-0000-0000-0000F01C0000}"/>
    <cellStyle name="Normal 4 5 2 5 2 4" xfId="7911" xr:uid="{00000000-0005-0000-0000-0000F11C0000}"/>
    <cellStyle name="Normal 4 5 2 5 2 4 2" xfId="7912" xr:uid="{00000000-0005-0000-0000-0000F21C0000}"/>
    <cellStyle name="Normal 4 5 2 5 2 4 3" xfId="7913" xr:uid="{00000000-0005-0000-0000-0000F31C0000}"/>
    <cellStyle name="Normal 4 5 2 5 2 5" xfId="7914" xr:uid="{00000000-0005-0000-0000-0000F41C0000}"/>
    <cellStyle name="Normal 4 5 2 5 2 6" xfId="7915" xr:uid="{00000000-0005-0000-0000-0000F51C0000}"/>
    <cellStyle name="Normal 4 5 2 5 2 7" xfId="7916" xr:uid="{00000000-0005-0000-0000-0000F61C0000}"/>
    <cellStyle name="Normal 4 5 2 5 3" xfId="7917" xr:uid="{00000000-0005-0000-0000-0000F71C0000}"/>
    <cellStyle name="Normal 4 5 2 5 3 2" xfId="7918" xr:uid="{00000000-0005-0000-0000-0000F81C0000}"/>
    <cellStyle name="Normal 4 5 2 5 3 2 2" xfId="7919" xr:uid="{00000000-0005-0000-0000-0000F91C0000}"/>
    <cellStyle name="Normal 4 5 2 5 3 2 3" xfId="7920" xr:uid="{00000000-0005-0000-0000-0000FA1C0000}"/>
    <cellStyle name="Normal 4 5 2 5 3 3" xfId="7921" xr:uid="{00000000-0005-0000-0000-0000FB1C0000}"/>
    <cellStyle name="Normal 4 5 2 5 3 4" xfId="7922" xr:uid="{00000000-0005-0000-0000-0000FC1C0000}"/>
    <cellStyle name="Normal 4 5 2 5 3 5" xfId="7923" xr:uid="{00000000-0005-0000-0000-0000FD1C0000}"/>
    <cellStyle name="Normal 4 5 2 5 4" xfId="7924" xr:uid="{00000000-0005-0000-0000-0000FE1C0000}"/>
    <cellStyle name="Normal 4 5 2 5 4 2" xfId="7925" xr:uid="{00000000-0005-0000-0000-0000FF1C0000}"/>
    <cellStyle name="Normal 4 5 2 5 4 2 2" xfId="7926" xr:uid="{00000000-0005-0000-0000-0000001D0000}"/>
    <cellStyle name="Normal 4 5 2 5 4 2 3" xfId="7927" xr:uid="{00000000-0005-0000-0000-0000011D0000}"/>
    <cellStyle name="Normal 4 5 2 5 4 3" xfId="7928" xr:uid="{00000000-0005-0000-0000-0000021D0000}"/>
    <cellStyle name="Normal 4 5 2 5 4 4" xfId="7929" xr:uid="{00000000-0005-0000-0000-0000031D0000}"/>
    <cellStyle name="Normal 4 5 2 5 4 5" xfId="7930" xr:uid="{00000000-0005-0000-0000-0000041D0000}"/>
    <cellStyle name="Normal 4 5 2 5 5" xfId="7931" xr:uid="{00000000-0005-0000-0000-0000051D0000}"/>
    <cellStyle name="Normal 4 5 2 5 5 2" xfId="7932" xr:uid="{00000000-0005-0000-0000-0000061D0000}"/>
    <cellStyle name="Normal 4 5 2 5 5 3" xfId="7933" xr:uid="{00000000-0005-0000-0000-0000071D0000}"/>
    <cellStyle name="Normal 4 5 2 5 6" xfId="7934" xr:uid="{00000000-0005-0000-0000-0000081D0000}"/>
    <cellStyle name="Normal 4 5 2 5 7" xfId="7935" xr:uid="{00000000-0005-0000-0000-0000091D0000}"/>
    <cellStyle name="Normal 4 5 2 5 8" xfId="7936" xr:uid="{00000000-0005-0000-0000-00000A1D0000}"/>
    <cellStyle name="Normal 4 5 2 6" xfId="7937" xr:uid="{00000000-0005-0000-0000-00000B1D0000}"/>
    <cellStyle name="Normal 4 5 2 6 2" xfId="7938" xr:uid="{00000000-0005-0000-0000-00000C1D0000}"/>
    <cellStyle name="Normal 4 5 2 6 2 2" xfId="7939" xr:uid="{00000000-0005-0000-0000-00000D1D0000}"/>
    <cellStyle name="Normal 4 5 2 6 2 2 2" xfId="7940" xr:uid="{00000000-0005-0000-0000-00000E1D0000}"/>
    <cellStyle name="Normal 4 5 2 6 2 2 3" xfId="7941" xr:uid="{00000000-0005-0000-0000-00000F1D0000}"/>
    <cellStyle name="Normal 4 5 2 6 2 3" xfId="7942" xr:uid="{00000000-0005-0000-0000-0000101D0000}"/>
    <cellStyle name="Normal 4 5 2 6 2 4" xfId="7943" xr:uid="{00000000-0005-0000-0000-0000111D0000}"/>
    <cellStyle name="Normal 4 5 2 6 2 5" xfId="7944" xr:uid="{00000000-0005-0000-0000-0000121D0000}"/>
    <cellStyle name="Normal 4 5 2 6 3" xfId="7945" xr:uid="{00000000-0005-0000-0000-0000131D0000}"/>
    <cellStyle name="Normal 4 5 2 6 3 2" xfId="7946" xr:uid="{00000000-0005-0000-0000-0000141D0000}"/>
    <cellStyle name="Normal 4 5 2 6 3 2 2" xfId="7947" xr:uid="{00000000-0005-0000-0000-0000151D0000}"/>
    <cellStyle name="Normal 4 5 2 6 3 2 3" xfId="7948" xr:uid="{00000000-0005-0000-0000-0000161D0000}"/>
    <cellStyle name="Normal 4 5 2 6 3 3" xfId="7949" xr:uid="{00000000-0005-0000-0000-0000171D0000}"/>
    <cellStyle name="Normal 4 5 2 6 3 4" xfId="7950" xr:uid="{00000000-0005-0000-0000-0000181D0000}"/>
    <cellStyle name="Normal 4 5 2 6 3 5" xfId="7951" xr:uid="{00000000-0005-0000-0000-0000191D0000}"/>
    <cellStyle name="Normal 4 5 2 6 4" xfId="7952" xr:uid="{00000000-0005-0000-0000-00001A1D0000}"/>
    <cellStyle name="Normal 4 5 2 6 4 2" xfId="7953" xr:uid="{00000000-0005-0000-0000-00001B1D0000}"/>
    <cellStyle name="Normal 4 5 2 6 4 3" xfId="7954" xr:uid="{00000000-0005-0000-0000-00001C1D0000}"/>
    <cellStyle name="Normal 4 5 2 6 5" xfId="7955" xr:uid="{00000000-0005-0000-0000-00001D1D0000}"/>
    <cellStyle name="Normal 4 5 2 6 6" xfId="7956" xr:uid="{00000000-0005-0000-0000-00001E1D0000}"/>
    <cellStyle name="Normal 4 5 2 6 7" xfId="7957" xr:uid="{00000000-0005-0000-0000-00001F1D0000}"/>
    <cellStyle name="Normal 4 5 2 7" xfId="7958" xr:uid="{00000000-0005-0000-0000-0000201D0000}"/>
    <cellStyle name="Normal 4 5 2 7 2" xfId="7959" xr:uid="{00000000-0005-0000-0000-0000211D0000}"/>
    <cellStyle name="Normal 4 5 2 7 2 2" xfId="7960" xr:uid="{00000000-0005-0000-0000-0000221D0000}"/>
    <cellStyle name="Normal 4 5 2 7 2 3" xfId="7961" xr:uid="{00000000-0005-0000-0000-0000231D0000}"/>
    <cellStyle name="Normal 4 5 2 7 3" xfId="7962" xr:uid="{00000000-0005-0000-0000-0000241D0000}"/>
    <cellStyle name="Normal 4 5 2 7 4" xfId="7963" xr:uid="{00000000-0005-0000-0000-0000251D0000}"/>
    <cellStyle name="Normal 4 5 2 7 5" xfId="7964" xr:uid="{00000000-0005-0000-0000-0000261D0000}"/>
    <cellStyle name="Normal 4 5 2 8" xfId="7965" xr:uid="{00000000-0005-0000-0000-0000271D0000}"/>
    <cellStyle name="Normal 4 5 2 8 2" xfId="7966" xr:uid="{00000000-0005-0000-0000-0000281D0000}"/>
    <cellStyle name="Normal 4 5 2 8 2 2" xfId="7967" xr:uid="{00000000-0005-0000-0000-0000291D0000}"/>
    <cellStyle name="Normal 4 5 2 8 2 3" xfId="7968" xr:uid="{00000000-0005-0000-0000-00002A1D0000}"/>
    <cellStyle name="Normal 4 5 2 8 3" xfId="7969" xr:uid="{00000000-0005-0000-0000-00002B1D0000}"/>
    <cellStyle name="Normal 4 5 2 8 4" xfId="7970" xr:uid="{00000000-0005-0000-0000-00002C1D0000}"/>
    <cellStyle name="Normal 4 5 2 8 5" xfId="7971" xr:uid="{00000000-0005-0000-0000-00002D1D0000}"/>
    <cellStyle name="Normal 4 5 2 9" xfId="7972" xr:uid="{00000000-0005-0000-0000-00002E1D0000}"/>
    <cellStyle name="Normal 4 5 2 9 2" xfId="7973" xr:uid="{00000000-0005-0000-0000-00002F1D0000}"/>
    <cellStyle name="Normal 4 5 2 9 3" xfId="7974" xr:uid="{00000000-0005-0000-0000-0000301D0000}"/>
    <cellStyle name="Normal 4 5 3" xfId="7975" xr:uid="{00000000-0005-0000-0000-0000311D0000}"/>
    <cellStyle name="Normal 4 5 3 2" xfId="7976" xr:uid="{00000000-0005-0000-0000-0000321D0000}"/>
    <cellStyle name="Normal 4 5 3 2 2" xfId="7977" xr:uid="{00000000-0005-0000-0000-0000331D0000}"/>
    <cellStyle name="Normal 4 5 3 2 2 2" xfId="7978" xr:uid="{00000000-0005-0000-0000-0000341D0000}"/>
    <cellStyle name="Normal 4 5 3 2 2 2 2" xfId="7979" xr:uid="{00000000-0005-0000-0000-0000351D0000}"/>
    <cellStyle name="Normal 4 5 3 2 2 2 2 2" xfId="7980" xr:uid="{00000000-0005-0000-0000-0000361D0000}"/>
    <cellStyle name="Normal 4 5 3 2 2 2 2 3" xfId="7981" xr:uid="{00000000-0005-0000-0000-0000371D0000}"/>
    <cellStyle name="Normal 4 5 3 2 2 2 3" xfId="7982" xr:uid="{00000000-0005-0000-0000-0000381D0000}"/>
    <cellStyle name="Normal 4 5 3 2 2 2 4" xfId="7983" xr:uid="{00000000-0005-0000-0000-0000391D0000}"/>
    <cellStyle name="Normal 4 5 3 2 2 2 5" xfId="7984" xr:uid="{00000000-0005-0000-0000-00003A1D0000}"/>
    <cellStyle name="Normal 4 5 3 2 2 3" xfId="7985" xr:uid="{00000000-0005-0000-0000-00003B1D0000}"/>
    <cellStyle name="Normal 4 5 3 2 2 3 2" xfId="7986" xr:uid="{00000000-0005-0000-0000-00003C1D0000}"/>
    <cellStyle name="Normal 4 5 3 2 2 3 2 2" xfId="7987" xr:uid="{00000000-0005-0000-0000-00003D1D0000}"/>
    <cellStyle name="Normal 4 5 3 2 2 3 2 3" xfId="7988" xr:uid="{00000000-0005-0000-0000-00003E1D0000}"/>
    <cellStyle name="Normal 4 5 3 2 2 3 3" xfId="7989" xr:uid="{00000000-0005-0000-0000-00003F1D0000}"/>
    <cellStyle name="Normal 4 5 3 2 2 3 4" xfId="7990" xr:uid="{00000000-0005-0000-0000-0000401D0000}"/>
    <cellStyle name="Normal 4 5 3 2 2 3 5" xfId="7991" xr:uid="{00000000-0005-0000-0000-0000411D0000}"/>
    <cellStyle name="Normal 4 5 3 2 2 4" xfId="7992" xr:uid="{00000000-0005-0000-0000-0000421D0000}"/>
    <cellStyle name="Normal 4 5 3 2 2 4 2" xfId="7993" xr:uid="{00000000-0005-0000-0000-0000431D0000}"/>
    <cellStyle name="Normal 4 5 3 2 2 4 3" xfId="7994" xr:uid="{00000000-0005-0000-0000-0000441D0000}"/>
    <cellStyle name="Normal 4 5 3 2 2 5" xfId="7995" xr:uid="{00000000-0005-0000-0000-0000451D0000}"/>
    <cellStyle name="Normal 4 5 3 2 2 6" xfId="7996" xr:uid="{00000000-0005-0000-0000-0000461D0000}"/>
    <cellStyle name="Normal 4 5 3 2 2 7" xfId="7997" xr:uid="{00000000-0005-0000-0000-0000471D0000}"/>
    <cellStyle name="Normal 4 5 3 2 3" xfId="7998" xr:uid="{00000000-0005-0000-0000-0000481D0000}"/>
    <cellStyle name="Normal 4 5 3 2 3 2" xfId="7999" xr:uid="{00000000-0005-0000-0000-0000491D0000}"/>
    <cellStyle name="Normal 4 5 3 2 3 2 2" xfId="8000" xr:uid="{00000000-0005-0000-0000-00004A1D0000}"/>
    <cellStyle name="Normal 4 5 3 2 3 2 3" xfId="8001" xr:uid="{00000000-0005-0000-0000-00004B1D0000}"/>
    <cellStyle name="Normal 4 5 3 2 3 3" xfId="8002" xr:uid="{00000000-0005-0000-0000-00004C1D0000}"/>
    <cellStyle name="Normal 4 5 3 2 3 4" xfId="8003" xr:uid="{00000000-0005-0000-0000-00004D1D0000}"/>
    <cellStyle name="Normal 4 5 3 2 3 5" xfId="8004" xr:uid="{00000000-0005-0000-0000-00004E1D0000}"/>
    <cellStyle name="Normal 4 5 3 2 4" xfId="8005" xr:uid="{00000000-0005-0000-0000-00004F1D0000}"/>
    <cellStyle name="Normal 4 5 3 2 4 2" xfId="8006" xr:uid="{00000000-0005-0000-0000-0000501D0000}"/>
    <cellStyle name="Normal 4 5 3 2 4 2 2" xfId="8007" xr:uid="{00000000-0005-0000-0000-0000511D0000}"/>
    <cellStyle name="Normal 4 5 3 2 4 2 3" xfId="8008" xr:uid="{00000000-0005-0000-0000-0000521D0000}"/>
    <cellStyle name="Normal 4 5 3 2 4 3" xfId="8009" xr:uid="{00000000-0005-0000-0000-0000531D0000}"/>
    <cellStyle name="Normal 4 5 3 2 4 4" xfId="8010" xr:uid="{00000000-0005-0000-0000-0000541D0000}"/>
    <cellStyle name="Normal 4 5 3 2 4 5" xfId="8011" xr:uid="{00000000-0005-0000-0000-0000551D0000}"/>
    <cellStyle name="Normal 4 5 3 2 5" xfId="8012" xr:uid="{00000000-0005-0000-0000-0000561D0000}"/>
    <cellStyle name="Normal 4 5 3 2 5 2" xfId="8013" xr:uid="{00000000-0005-0000-0000-0000571D0000}"/>
    <cellStyle name="Normal 4 5 3 2 5 3" xfId="8014" xr:uid="{00000000-0005-0000-0000-0000581D0000}"/>
    <cellStyle name="Normal 4 5 3 2 6" xfId="8015" xr:uid="{00000000-0005-0000-0000-0000591D0000}"/>
    <cellStyle name="Normal 4 5 3 2 7" xfId="8016" xr:uid="{00000000-0005-0000-0000-00005A1D0000}"/>
    <cellStyle name="Normal 4 5 3 2 8" xfId="8017" xr:uid="{00000000-0005-0000-0000-00005B1D0000}"/>
    <cellStyle name="Normal 4 5 3 3" xfId="8018" xr:uid="{00000000-0005-0000-0000-00005C1D0000}"/>
    <cellStyle name="Normal 4 5 3 3 2" xfId="8019" xr:uid="{00000000-0005-0000-0000-00005D1D0000}"/>
    <cellStyle name="Normal 4 5 3 3 2 2" xfId="8020" xr:uid="{00000000-0005-0000-0000-00005E1D0000}"/>
    <cellStyle name="Normal 4 5 3 3 2 2 2" xfId="8021" xr:uid="{00000000-0005-0000-0000-00005F1D0000}"/>
    <cellStyle name="Normal 4 5 3 3 2 2 3" xfId="8022" xr:uid="{00000000-0005-0000-0000-0000601D0000}"/>
    <cellStyle name="Normal 4 5 3 3 2 3" xfId="8023" xr:uid="{00000000-0005-0000-0000-0000611D0000}"/>
    <cellStyle name="Normal 4 5 3 3 2 4" xfId="8024" xr:uid="{00000000-0005-0000-0000-0000621D0000}"/>
    <cellStyle name="Normal 4 5 3 3 2 5" xfId="8025" xr:uid="{00000000-0005-0000-0000-0000631D0000}"/>
    <cellStyle name="Normal 4 5 3 3 3" xfId="8026" xr:uid="{00000000-0005-0000-0000-0000641D0000}"/>
    <cellStyle name="Normal 4 5 3 3 3 2" xfId="8027" xr:uid="{00000000-0005-0000-0000-0000651D0000}"/>
    <cellStyle name="Normal 4 5 3 3 3 2 2" xfId="8028" xr:uid="{00000000-0005-0000-0000-0000661D0000}"/>
    <cellStyle name="Normal 4 5 3 3 3 2 3" xfId="8029" xr:uid="{00000000-0005-0000-0000-0000671D0000}"/>
    <cellStyle name="Normal 4 5 3 3 3 3" xfId="8030" xr:uid="{00000000-0005-0000-0000-0000681D0000}"/>
    <cellStyle name="Normal 4 5 3 3 3 4" xfId="8031" xr:uid="{00000000-0005-0000-0000-0000691D0000}"/>
    <cellStyle name="Normal 4 5 3 3 3 5" xfId="8032" xr:uid="{00000000-0005-0000-0000-00006A1D0000}"/>
    <cellStyle name="Normal 4 5 3 3 4" xfId="8033" xr:uid="{00000000-0005-0000-0000-00006B1D0000}"/>
    <cellStyle name="Normal 4 5 3 3 4 2" xfId="8034" xr:uid="{00000000-0005-0000-0000-00006C1D0000}"/>
    <cellStyle name="Normal 4 5 3 3 4 3" xfId="8035" xr:uid="{00000000-0005-0000-0000-00006D1D0000}"/>
    <cellStyle name="Normal 4 5 3 3 5" xfId="8036" xr:uid="{00000000-0005-0000-0000-00006E1D0000}"/>
    <cellStyle name="Normal 4 5 3 3 6" xfId="8037" xr:uid="{00000000-0005-0000-0000-00006F1D0000}"/>
    <cellStyle name="Normal 4 5 3 3 7" xfId="8038" xr:uid="{00000000-0005-0000-0000-0000701D0000}"/>
    <cellStyle name="Normal 4 5 3 4" xfId="8039" xr:uid="{00000000-0005-0000-0000-0000711D0000}"/>
    <cellStyle name="Normal 4 5 3 4 2" xfId="8040" xr:uid="{00000000-0005-0000-0000-0000721D0000}"/>
    <cellStyle name="Normal 4 5 3 4 2 2" xfId="8041" xr:uid="{00000000-0005-0000-0000-0000731D0000}"/>
    <cellStyle name="Normal 4 5 3 4 2 3" xfId="8042" xr:uid="{00000000-0005-0000-0000-0000741D0000}"/>
    <cellStyle name="Normal 4 5 3 4 3" xfId="8043" xr:uid="{00000000-0005-0000-0000-0000751D0000}"/>
    <cellStyle name="Normal 4 5 3 4 4" xfId="8044" xr:uid="{00000000-0005-0000-0000-0000761D0000}"/>
    <cellStyle name="Normal 4 5 3 4 5" xfId="8045" xr:uid="{00000000-0005-0000-0000-0000771D0000}"/>
    <cellStyle name="Normal 4 5 3 5" xfId="8046" xr:uid="{00000000-0005-0000-0000-0000781D0000}"/>
    <cellStyle name="Normal 4 5 3 5 2" xfId="8047" xr:uid="{00000000-0005-0000-0000-0000791D0000}"/>
    <cellStyle name="Normal 4 5 3 5 2 2" xfId="8048" xr:uid="{00000000-0005-0000-0000-00007A1D0000}"/>
    <cellStyle name="Normal 4 5 3 5 2 3" xfId="8049" xr:uid="{00000000-0005-0000-0000-00007B1D0000}"/>
    <cellStyle name="Normal 4 5 3 5 3" xfId="8050" xr:uid="{00000000-0005-0000-0000-00007C1D0000}"/>
    <cellStyle name="Normal 4 5 3 5 4" xfId="8051" xr:uid="{00000000-0005-0000-0000-00007D1D0000}"/>
    <cellStyle name="Normal 4 5 3 5 5" xfId="8052" xr:uid="{00000000-0005-0000-0000-00007E1D0000}"/>
    <cellStyle name="Normal 4 5 3 6" xfId="8053" xr:uid="{00000000-0005-0000-0000-00007F1D0000}"/>
    <cellStyle name="Normal 4 5 3 6 2" xfId="8054" xr:uid="{00000000-0005-0000-0000-0000801D0000}"/>
    <cellStyle name="Normal 4 5 3 6 3" xfId="8055" xr:uid="{00000000-0005-0000-0000-0000811D0000}"/>
    <cellStyle name="Normal 4 5 3 7" xfId="8056" xr:uid="{00000000-0005-0000-0000-0000821D0000}"/>
    <cellStyle name="Normal 4 5 3 8" xfId="8057" xr:uid="{00000000-0005-0000-0000-0000831D0000}"/>
    <cellStyle name="Normal 4 5 3 9" xfId="8058" xr:uid="{00000000-0005-0000-0000-0000841D0000}"/>
    <cellStyle name="Normal 4 5 4" xfId="8059" xr:uid="{00000000-0005-0000-0000-0000851D0000}"/>
    <cellStyle name="Normal 4 5 4 2" xfId="8060" xr:uid="{00000000-0005-0000-0000-0000861D0000}"/>
    <cellStyle name="Normal 4 5 4 2 2" xfId="8061" xr:uid="{00000000-0005-0000-0000-0000871D0000}"/>
    <cellStyle name="Normal 4 5 4 2 2 2" xfId="8062" xr:uid="{00000000-0005-0000-0000-0000881D0000}"/>
    <cellStyle name="Normal 4 5 4 2 2 2 2" xfId="8063" xr:uid="{00000000-0005-0000-0000-0000891D0000}"/>
    <cellStyle name="Normal 4 5 4 2 2 2 2 2" xfId="8064" xr:uid="{00000000-0005-0000-0000-00008A1D0000}"/>
    <cellStyle name="Normal 4 5 4 2 2 2 2 3" xfId="8065" xr:uid="{00000000-0005-0000-0000-00008B1D0000}"/>
    <cellStyle name="Normal 4 5 4 2 2 2 3" xfId="8066" xr:uid="{00000000-0005-0000-0000-00008C1D0000}"/>
    <cellStyle name="Normal 4 5 4 2 2 2 4" xfId="8067" xr:uid="{00000000-0005-0000-0000-00008D1D0000}"/>
    <cellStyle name="Normal 4 5 4 2 2 2 5" xfId="8068" xr:uid="{00000000-0005-0000-0000-00008E1D0000}"/>
    <cellStyle name="Normal 4 5 4 2 2 3" xfId="8069" xr:uid="{00000000-0005-0000-0000-00008F1D0000}"/>
    <cellStyle name="Normal 4 5 4 2 2 3 2" xfId="8070" xr:uid="{00000000-0005-0000-0000-0000901D0000}"/>
    <cellStyle name="Normal 4 5 4 2 2 3 2 2" xfId="8071" xr:uid="{00000000-0005-0000-0000-0000911D0000}"/>
    <cellStyle name="Normal 4 5 4 2 2 3 2 3" xfId="8072" xr:uid="{00000000-0005-0000-0000-0000921D0000}"/>
    <cellStyle name="Normal 4 5 4 2 2 3 3" xfId="8073" xr:uid="{00000000-0005-0000-0000-0000931D0000}"/>
    <cellStyle name="Normal 4 5 4 2 2 3 4" xfId="8074" xr:uid="{00000000-0005-0000-0000-0000941D0000}"/>
    <cellStyle name="Normal 4 5 4 2 2 3 5" xfId="8075" xr:uid="{00000000-0005-0000-0000-0000951D0000}"/>
    <cellStyle name="Normal 4 5 4 2 2 4" xfId="8076" xr:uid="{00000000-0005-0000-0000-0000961D0000}"/>
    <cellStyle name="Normal 4 5 4 2 2 4 2" xfId="8077" xr:uid="{00000000-0005-0000-0000-0000971D0000}"/>
    <cellStyle name="Normal 4 5 4 2 2 4 3" xfId="8078" xr:uid="{00000000-0005-0000-0000-0000981D0000}"/>
    <cellStyle name="Normal 4 5 4 2 2 5" xfId="8079" xr:uid="{00000000-0005-0000-0000-0000991D0000}"/>
    <cellStyle name="Normal 4 5 4 2 2 6" xfId="8080" xr:uid="{00000000-0005-0000-0000-00009A1D0000}"/>
    <cellStyle name="Normal 4 5 4 2 2 7" xfId="8081" xr:uid="{00000000-0005-0000-0000-00009B1D0000}"/>
    <cellStyle name="Normal 4 5 4 2 3" xfId="8082" xr:uid="{00000000-0005-0000-0000-00009C1D0000}"/>
    <cellStyle name="Normal 4 5 4 2 3 2" xfId="8083" xr:uid="{00000000-0005-0000-0000-00009D1D0000}"/>
    <cellStyle name="Normal 4 5 4 2 3 2 2" xfId="8084" xr:uid="{00000000-0005-0000-0000-00009E1D0000}"/>
    <cellStyle name="Normal 4 5 4 2 3 2 3" xfId="8085" xr:uid="{00000000-0005-0000-0000-00009F1D0000}"/>
    <cellStyle name="Normal 4 5 4 2 3 3" xfId="8086" xr:uid="{00000000-0005-0000-0000-0000A01D0000}"/>
    <cellStyle name="Normal 4 5 4 2 3 4" xfId="8087" xr:uid="{00000000-0005-0000-0000-0000A11D0000}"/>
    <cellStyle name="Normal 4 5 4 2 3 5" xfId="8088" xr:uid="{00000000-0005-0000-0000-0000A21D0000}"/>
    <cellStyle name="Normal 4 5 4 2 4" xfId="8089" xr:uid="{00000000-0005-0000-0000-0000A31D0000}"/>
    <cellStyle name="Normal 4 5 4 2 4 2" xfId="8090" xr:uid="{00000000-0005-0000-0000-0000A41D0000}"/>
    <cellStyle name="Normal 4 5 4 2 4 2 2" xfId="8091" xr:uid="{00000000-0005-0000-0000-0000A51D0000}"/>
    <cellStyle name="Normal 4 5 4 2 4 2 3" xfId="8092" xr:uid="{00000000-0005-0000-0000-0000A61D0000}"/>
    <cellStyle name="Normal 4 5 4 2 4 3" xfId="8093" xr:uid="{00000000-0005-0000-0000-0000A71D0000}"/>
    <cellStyle name="Normal 4 5 4 2 4 4" xfId="8094" xr:uid="{00000000-0005-0000-0000-0000A81D0000}"/>
    <cellStyle name="Normal 4 5 4 2 4 5" xfId="8095" xr:uid="{00000000-0005-0000-0000-0000A91D0000}"/>
    <cellStyle name="Normal 4 5 4 2 5" xfId="8096" xr:uid="{00000000-0005-0000-0000-0000AA1D0000}"/>
    <cellStyle name="Normal 4 5 4 2 5 2" xfId="8097" xr:uid="{00000000-0005-0000-0000-0000AB1D0000}"/>
    <cellStyle name="Normal 4 5 4 2 5 3" xfId="8098" xr:uid="{00000000-0005-0000-0000-0000AC1D0000}"/>
    <cellStyle name="Normal 4 5 4 2 6" xfId="8099" xr:uid="{00000000-0005-0000-0000-0000AD1D0000}"/>
    <cellStyle name="Normal 4 5 4 2 7" xfId="8100" xr:uid="{00000000-0005-0000-0000-0000AE1D0000}"/>
    <cellStyle name="Normal 4 5 4 2 8" xfId="8101" xr:uid="{00000000-0005-0000-0000-0000AF1D0000}"/>
    <cellStyle name="Normal 4 5 4 3" xfId="8102" xr:uid="{00000000-0005-0000-0000-0000B01D0000}"/>
    <cellStyle name="Normal 4 5 4 3 2" xfId="8103" xr:uid="{00000000-0005-0000-0000-0000B11D0000}"/>
    <cellStyle name="Normal 4 5 4 3 2 2" xfId="8104" xr:uid="{00000000-0005-0000-0000-0000B21D0000}"/>
    <cellStyle name="Normal 4 5 4 3 2 2 2" xfId="8105" xr:uid="{00000000-0005-0000-0000-0000B31D0000}"/>
    <cellStyle name="Normal 4 5 4 3 2 2 3" xfId="8106" xr:uid="{00000000-0005-0000-0000-0000B41D0000}"/>
    <cellStyle name="Normal 4 5 4 3 2 3" xfId="8107" xr:uid="{00000000-0005-0000-0000-0000B51D0000}"/>
    <cellStyle name="Normal 4 5 4 3 2 4" xfId="8108" xr:uid="{00000000-0005-0000-0000-0000B61D0000}"/>
    <cellStyle name="Normal 4 5 4 3 2 5" xfId="8109" xr:uid="{00000000-0005-0000-0000-0000B71D0000}"/>
    <cellStyle name="Normal 4 5 4 3 3" xfId="8110" xr:uid="{00000000-0005-0000-0000-0000B81D0000}"/>
    <cellStyle name="Normal 4 5 4 3 3 2" xfId="8111" xr:uid="{00000000-0005-0000-0000-0000B91D0000}"/>
    <cellStyle name="Normal 4 5 4 3 3 2 2" xfId="8112" xr:uid="{00000000-0005-0000-0000-0000BA1D0000}"/>
    <cellStyle name="Normal 4 5 4 3 3 2 3" xfId="8113" xr:uid="{00000000-0005-0000-0000-0000BB1D0000}"/>
    <cellStyle name="Normal 4 5 4 3 3 3" xfId="8114" xr:uid="{00000000-0005-0000-0000-0000BC1D0000}"/>
    <cellStyle name="Normal 4 5 4 3 3 4" xfId="8115" xr:uid="{00000000-0005-0000-0000-0000BD1D0000}"/>
    <cellStyle name="Normal 4 5 4 3 3 5" xfId="8116" xr:uid="{00000000-0005-0000-0000-0000BE1D0000}"/>
    <cellStyle name="Normal 4 5 4 3 4" xfId="8117" xr:uid="{00000000-0005-0000-0000-0000BF1D0000}"/>
    <cellStyle name="Normal 4 5 4 3 4 2" xfId="8118" xr:uid="{00000000-0005-0000-0000-0000C01D0000}"/>
    <cellStyle name="Normal 4 5 4 3 4 3" xfId="8119" xr:uid="{00000000-0005-0000-0000-0000C11D0000}"/>
    <cellStyle name="Normal 4 5 4 3 5" xfId="8120" xr:uid="{00000000-0005-0000-0000-0000C21D0000}"/>
    <cellStyle name="Normal 4 5 4 3 6" xfId="8121" xr:uid="{00000000-0005-0000-0000-0000C31D0000}"/>
    <cellStyle name="Normal 4 5 4 3 7" xfId="8122" xr:uid="{00000000-0005-0000-0000-0000C41D0000}"/>
    <cellStyle name="Normal 4 5 4 4" xfId="8123" xr:uid="{00000000-0005-0000-0000-0000C51D0000}"/>
    <cellStyle name="Normal 4 5 4 4 2" xfId="8124" xr:uid="{00000000-0005-0000-0000-0000C61D0000}"/>
    <cellStyle name="Normal 4 5 4 4 2 2" xfId="8125" xr:uid="{00000000-0005-0000-0000-0000C71D0000}"/>
    <cellStyle name="Normal 4 5 4 4 2 3" xfId="8126" xr:uid="{00000000-0005-0000-0000-0000C81D0000}"/>
    <cellStyle name="Normal 4 5 4 4 3" xfId="8127" xr:uid="{00000000-0005-0000-0000-0000C91D0000}"/>
    <cellStyle name="Normal 4 5 4 4 4" xfId="8128" xr:uid="{00000000-0005-0000-0000-0000CA1D0000}"/>
    <cellStyle name="Normal 4 5 4 4 5" xfId="8129" xr:uid="{00000000-0005-0000-0000-0000CB1D0000}"/>
    <cellStyle name="Normal 4 5 4 5" xfId="8130" xr:uid="{00000000-0005-0000-0000-0000CC1D0000}"/>
    <cellStyle name="Normal 4 5 4 5 2" xfId="8131" xr:uid="{00000000-0005-0000-0000-0000CD1D0000}"/>
    <cellStyle name="Normal 4 5 4 5 2 2" xfId="8132" xr:uid="{00000000-0005-0000-0000-0000CE1D0000}"/>
    <cellStyle name="Normal 4 5 4 5 2 3" xfId="8133" xr:uid="{00000000-0005-0000-0000-0000CF1D0000}"/>
    <cellStyle name="Normal 4 5 4 5 3" xfId="8134" xr:uid="{00000000-0005-0000-0000-0000D01D0000}"/>
    <cellStyle name="Normal 4 5 4 5 4" xfId="8135" xr:uid="{00000000-0005-0000-0000-0000D11D0000}"/>
    <cellStyle name="Normal 4 5 4 5 5" xfId="8136" xr:uid="{00000000-0005-0000-0000-0000D21D0000}"/>
    <cellStyle name="Normal 4 5 4 6" xfId="8137" xr:uid="{00000000-0005-0000-0000-0000D31D0000}"/>
    <cellStyle name="Normal 4 5 4 6 2" xfId="8138" xr:uid="{00000000-0005-0000-0000-0000D41D0000}"/>
    <cellStyle name="Normal 4 5 4 6 3" xfId="8139" xr:uid="{00000000-0005-0000-0000-0000D51D0000}"/>
    <cellStyle name="Normal 4 5 4 7" xfId="8140" xr:uid="{00000000-0005-0000-0000-0000D61D0000}"/>
    <cellStyle name="Normal 4 5 4 8" xfId="8141" xr:uid="{00000000-0005-0000-0000-0000D71D0000}"/>
    <cellStyle name="Normal 4 5 4 9" xfId="8142" xr:uid="{00000000-0005-0000-0000-0000D81D0000}"/>
    <cellStyle name="Normal 4 5 5" xfId="8143" xr:uid="{00000000-0005-0000-0000-0000D91D0000}"/>
    <cellStyle name="Normal 4 5 5 2" xfId="8144" xr:uid="{00000000-0005-0000-0000-0000DA1D0000}"/>
    <cellStyle name="Normal 4 5 5 2 2" xfId="8145" xr:uid="{00000000-0005-0000-0000-0000DB1D0000}"/>
    <cellStyle name="Normal 4 5 5 2 2 2" xfId="8146" xr:uid="{00000000-0005-0000-0000-0000DC1D0000}"/>
    <cellStyle name="Normal 4 5 5 2 2 2 2" xfId="8147" xr:uid="{00000000-0005-0000-0000-0000DD1D0000}"/>
    <cellStyle name="Normal 4 5 5 2 2 2 2 2" xfId="8148" xr:uid="{00000000-0005-0000-0000-0000DE1D0000}"/>
    <cellStyle name="Normal 4 5 5 2 2 2 2 3" xfId="8149" xr:uid="{00000000-0005-0000-0000-0000DF1D0000}"/>
    <cellStyle name="Normal 4 5 5 2 2 2 3" xfId="8150" xr:uid="{00000000-0005-0000-0000-0000E01D0000}"/>
    <cellStyle name="Normal 4 5 5 2 2 2 4" xfId="8151" xr:uid="{00000000-0005-0000-0000-0000E11D0000}"/>
    <cellStyle name="Normal 4 5 5 2 2 2 5" xfId="8152" xr:uid="{00000000-0005-0000-0000-0000E21D0000}"/>
    <cellStyle name="Normal 4 5 5 2 2 3" xfId="8153" xr:uid="{00000000-0005-0000-0000-0000E31D0000}"/>
    <cellStyle name="Normal 4 5 5 2 2 3 2" xfId="8154" xr:uid="{00000000-0005-0000-0000-0000E41D0000}"/>
    <cellStyle name="Normal 4 5 5 2 2 3 2 2" xfId="8155" xr:uid="{00000000-0005-0000-0000-0000E51D0000}"/>
    <cellStyle name="Normal 4 5 5 2 2 3 2 3" xfId="8156" xr:uid="{00000000-0005-0000-0000-0000E61D0000}"/>
    <cellStyle name="Normal 4 5 5 2 2 3 3" xfId="8157" xr:uid="{00000000-0005-0000-0000-0000E71D0000}"/>
    <cellStyle name="Normal 4 5 5 2 2 3 4" xfId="8158" xr:uid="{00000000-0005-0000-0000-0000E81D0000}"/>
    <cellStyle name="Normal 4 5 5 2 2 3 5" xfId="8159" xr:uid="{00000000-0005-0000-0000-0000E91D0000}"/>
    <cellStyle name="Normal 4 5 5 2 2 4" xfId="8160" xr:uid="{00000000-0005-0000-0000-0000EA1D0000}"/>
    <cellStyle name="Normal 4 5 5 2 2 4 2" xfId="8161" xr:uid="{00000000-0005-0000-0000-0000EB1D0000}"/>
    <cellStyle name="Normal 4 5 5 2 2 4 3" xfId="8162" xr:uid="{00000000-0005-0000-0000-0000EC1D0000}"/>
    <cellStyle name="Normal 4 5 5 2 2 5" xfId="8163" xr:uid="{00000000-0005-0000-0000-0000ED1D0000}"/>
    <cellStyle name="Normal 4 5 5 2 2 6" xfId="8164" xr:uid="{00000000-0005-0000-0000-0000EE1D0000}"/>
    <cellStyle name="Normal 4 5 5 2 2 7" xfId="8165" xr:uid="{00000000-0005-0000-0000-0000EF1D0000}"/>
    <cellStyle name="Normal 4 5 5 2 3" xfId="8166" xr:uid="{00000000-0005-0000-0000-0000F01D0000}"/>
    <cellStyle name="Normal 4 5 5 2 3 2" xfId="8167" xr:uid="{00000000-0005-0000-0000-0000F11D0000}"/>
    <cellStyle name="Normal 4 5 5 2 3 2 2" xfId="8168" xr:uid="{00000000-0005-0000-0000-0000F21D0000}"/>
    <cellStyle name="Normal 4 5 5 2 3 2 3" xfId="8169" xr:uid="{00000000-0005-0000-0000-0000F31D0000}"/>
    <cellStyle name="Normal 4 5 5 2 3 3" xfId="8170" xr:uid="{00000000-0005-0000-0000-0000F41D0000}"/>
    <cellStyle name="Normal 4 5 5 2 3 4" xfId="8171" xr:uid="{00000000-0005-0000-0000-0000F51D0000}"/>
    <cellStyle name="Normal 4 5 5 2 3 5" xfId="8172" xr:uid="{00000000-0005-0000-0000-0000F61D0000}"/>
    <cellStyle name="Normal 4 5 5 2 4" xfId="8173" xr:uid="{00000000-0005-0000-0000-0000F71D0000}"/>
    <cellStyle name="Normal 4 5 5 2 4 2" xfId="8174" xr:uid="{00000000-0005-0000-0000-0000F81D0000}"/>
    <cellStyle name="Normal 4 5 5 2 4 2 2" xfId="8175" xr:uid="{00000000-0005-0000-0000-0000F91D0000}"/>
    <cellStyle name="Normal 4 5 5 2 4 2 3" xfId="8176" xr:uid="{00000000-0005-0000-0000-0000FA1D0000}"/>
    <cellStyle name="Normal 4 5 5 2 4 3" xfId="8177" xr:uid="{00000000-0005-0000-0000-0000FB1D0000}"/>
    <cellStyle name="Normal 4 5 5 2 4 4" xfId="8178" xr:uid="{00000000-0005-0000-0000-0000FC1D0000}"/>
    <cellStyle name="Normal 4 5 5 2 4 5" xfId="8179" xr:uid="{00000000-0005-0000-0000-0000FD1D0000}"/>
    <cellStyle name="Normal 4 5 5 2 5" xfId="8180" xr:uid="{00000000-0005-0000-0000-0000FE1D0000}"/>
    <cellStyle name="Normal 4 5 5 2 5 2" xfId="8181" xr:uid="{00000000-0005-0000-0000-0000FF1D0000}"/>
    <cellStyle name="Normal 4 5 5 2 5 3" xfId="8182" xr:uid="{00000000-0005-0000-0000-0000001E0000}"/>
    <cellStyle name="Normal 4 5 5 2 6" xfId="8183" xr:uid="{00000000-0005-0000-0000-0000011E0000}"/>
    <cellStyle name="Normal 4 5 5 2 7" xfId="8184" xr:uid="{00000000-0005-0000-0000-0000021E0000}"/>
    <cellStyle name="Normal 4 5 5 2 8" xfId="8185" xr:uid="{00000000-0005-0000-0000-0000031E0000}"/>
    <cellStyle name="Normal 4 5 5 3" xfId="8186" xr:uid="{00000000-0005-0000-0000-0000041E0000}"/>
    <cellStyle name="Normal 4 5 5 3 2" xfId="8187" xr:uid="{00000000-0005-0000-0000-0000051E0000}"/>
    <cellStyle name="Normal 4 5 5 3 2 2" xfId="8188" xr:uid="{00000000-0005-0000-0000-0000061E0000}"/>
    <cellStyle name="Normal 4 5 5 3 2 2 2" xfId="8189" xr:uid="{00000000-0005-0000-0000-0000071E0000}"/>
    <cellStyle name="Normal 4 5 5 3 2 2 3" xfId="8190" xr:uid="{00000000-0005-0000-0000-0000081E0000}"/>
    <cellStyle name="Normal 4 5 5 3 2 3" xfId="8191" xr:uid="{00000000-0005-0000-0000-0000091E0000}"/>
    <cellStyle name="Normal 4 5 5 3 2 4" xfId="8192" xr:uid="{00000000-0005-0000-0000-00000A1E0000}"/>
    <cellStyle name="Normal 4 5 5 3 2 5" xfId="8193" xr:uid="{00000000-0005-0000-0000-00000B1E0000}"/>
    <cellStyle name="Normal 4 5 5 3 3" xfId="8194" xr:uid="{00000000-0005-0000-0000-00000C1E0000}"/>
    <cellStyle name="Normal 4 5 5 3 3 2" xfId="8195" xr:uid="{00000000-0005-0000-0000-00000D1E0000}"/>
    <cellStyle name="Normal 4 5 5 3 3 2 2" xfId="8196" xr:uid="{00000000-0005-0000-0000-00000E1E0000}"/>
    <cellStyle name="Normal 4 5 5 3 3 2 3" xfId="8197" xr:uid="{00000000-0005-0000-0000-00000F1E0000}"/>
    <cellStyle name="Normal 4 5 5 3 3 3" xfId="8198" xr:uid="{00000000-0005-0000-0000-0000101E0000}"/>
    <cellStyle name="Normal 4 5 5 3 3 4" xfId="8199" xr:uid="{00000000-0005-0000-0000-0000111E0000}"/>
    <cellStyle name="Normal 4 5 5 3 3 5" xfId="8200" xr:uid="{00000000-0005-0000-0000-0000121E0000}"/>
    <cellStyle name="Normal 4 5 5 3 4" xfId="8201" xr:uid="{00000000-0005-0000-0000-0000131E0000}"/>
    <cellStyle name="Normal 4 5 5 3 4 2" xfId="8202" xr:uid="{00000000-0005-0000-0000-0000141E0000}"/>
    <cellStyle name="Normal 4 5 5 3 4 3" xfId="8203" xr:uid="{00000000-0005-0000-0000-0000151E0000}"/>
    <cellStyle name="Normal 4 5 5 3 5" xfId="8204" xr:uid="{00000000-0005-0000-0000-0000161E0000}"/>
    <cellStyle name="Normal 4 5 5 3 6" xfId="8205" xr:uid="{00000000-0005-0000-0000-0000171E0000}"/>
    <cellStyle name="Normal 4 5 5 3 7" xfId="8206" xr:uid="{00000000-0005-0000-0000-0000181E0000}"/>
    <cellStyle name="Normal 4 5 5 4" xfId="8207" xr:uid="{00000000-0005-0000-0000-0000191E0000}"/>
    <cellStyle name="Normal 4 5 5 4 2" xfId="8208" xr:uid="{00000000-0005-0000-0000-00001A1E0000}"/>
    <cellStyle name="Normal 4 5 5 4 2 2" xfId="8209" xr:uid="{00000000-0005-0000-0000-00001B1E0000}"/>
    <cellStyle name="Normal 4 5 5 4 2 3" xfId="8210" xr:uid="{00000000-0005-0000-0000-00001C1E0000}"/>
    <cellStyle name="Normal 4 5 5 4 3" xfId="8211" xr:uid="{00000000-0005-0000-0000-00001D1E0000}"/>
    <cellStyle name="Normal 4 5 5 4 4" xfId="8212" xr:uid="{00000000-0005-0000-0000-00001E1E0000}"/>
    <cellStyle name="Normal 4 5 5 4 5" xfId="8213" xr:uid="{00000000-0005-0000-0000-00001F1E0000}"/>
    <cellStyle name="Normal 4 5 5 5" xfId="8214" xr:uid="{00000000-0005-0000-0000-0000201E0000}"/>
    <cellStyle name="Normal 4 5 5 5 2" xfId="8215" xr:uid="{00000000-0005-0000-0000-0000211E0000}"/>
    <cellStyle name="Normal 4 5 5 5 2 2" xfId="8216" xr:uid="{00000000-0005-0000-0000-0000221E0000}"/>
    <cellStyle name="Normal 4 5 5 5 2 3" xfId="8217" xr:uid="{00000000-0005-0000-0000-0000231E0000}"/>
    <cellStyle name="Normal 4 5 5 5 3" xfId="8218" xr:uid="{00000000-0005-0000-0000-0000241E0000}"/>
    <cellStyle name="Normal 4 5 5 5 4" xfId="8219" xr:uid="{00000000-0005-0000-0000-0000251E0000}"/>
    <cellStyle name="Normal 4 5 5 5 5" xfId="8220" xr:uid="{00000000-0005-0000-0000-0000261E0000}"/>
    <cellStyle name="Normal 4 5 5 6" xfId="8221" xr:uid="{00000000-0005-0000-0000-0000271E0000}"/>
    <cellStyle name="Normal 4 5 5 6 2" xfId="8222" xr:uid="{00000000-0005-0000-0000-0000281E0000}"/>
    <cellStyle name="Normal 4 5 5 6 3" xfId="8223" xr:uid="{00000000-0005-0000-0000-0000291E0000}"/>
    <cellStyle name="Normal 4 5 5 7" xfId="8224" xr:uid="{00000000-0005-0000-0000-00002A1E0000}"/>
    <cellStyle name="Normal 4 5 5 8" xfId="8225" xr:uid="{00000000-0005-0000-0000-00002B1E0000}"/>
    <cellStyle name="Normal 4 5 5 9" xfId="8226" xr:uid="{00000000-0005-0000-0000-00002C1E0000}"/>
    <cellStyle name="Normal 4 5 6" xfId="8227" xr:uid="{00000000-0005-0000-0000-00002D1E0000}"/>
    <cellStyle name="Normal 4 5 6 2" xfId="8228" xr:uid="{00000000-0005-0000-0000-00002E1E0000}"/>
    <cellStyle name="Normal 4 5 6 2 2" xfId="8229" xr:uid="{00000000-0005-0000-0000-00002F1E0000}"/>
    <cellStyle name="Normal 4 5 6 2 2 2" xfId="8230" xr:uid="{00000000-0005-0000-0000-0000301E0000}"/>
    <cellStyle name="Normal 4 5 6 2 2 2 2" xfId="8231" xr:uid="{00000000-0005-0000-0000-0000311E0000}"/>
    <cellStyle name="Normal 4 5 6 2 2 2 3" xfId="8232" xr:uid="{00000000-0005-0000-0000-0000321E0000}"/>
    <cellStyle name="Normal 4 5 6 2 2 3" xfId="8233" xr:uid="{00000000-0005-0000-0000-0000331E0000}"/>
    <cellStyle name="Normal 4 5 6 2 2 4" xfId="8234" xr:uid="{00000000-0005-0000-0000-0000341E0000}"/>
    <cellStyle name="Normal 4 5 6 2 2 5" xfId="8235" xr:uid="{00000000-0005-0000-0000-0000351E0000}"/>
    <cellStyle name="Normal 4 5 6 2 3" xfId="8236" xr:uid="{00000000-0005-0000-0000-0000361E0000}"/>
    <cellStyle name="Normal 4 5 6 2 3 2" xfId="8237" xr:uid="{00000000-0005-0000-0000-0000371E0000}"/>
    <cellStyle name="Normal 4 5 6 2 3 2 2" xfId="8238" xr:uid="{00000000-0005-0000-0000-0000381E0000}"/>
    <cellStyle name="Normal 4 5 6 2 3 2 3" xfId="8239" xr:uid="{00000000-0005-0000-0000-0000391E0000}"/>
    <cellStyle name="Normal 4 5 6 2 3 3" xfId="8240" xr:uid="{00000000-0005-0000-0000-00003A1E0000}"/>
    <cellStyle name="Normal 4 5 6 2 3 4" xfId="8241" xr:uid="{00000000-0005-0000-0000-00003B1E0000}"/>
    <cellStyle name="Normal 4 5 6 2 3 5" xfId="8242" xr:uid="{00000000-0005-0000-0000-00003C1E0000}"/>
    <cellStyle name="Normal 4 5 6 2 4" xfId="8243" xr:uid="{00000000-0005-0000-0000-00003D1E0000}"/>
    <cellStyle name="Normal 4 5 6 2 4 2" xfId="8244" xr:uid="{00000000-0005-0000-0000-00003E1E0000}"/>
    <cellStyle name="Normal 4 5 6 2 4 3" xfId="8245" xr:uid="{00000000-0005-0000-0000-00003F1E0000}"/>
    <cellStyle name="Normal 4 5 6 2 5" xfId="8246" xr:uid="{00000000-0005-0000-0000-0000401E0000}"/>
    <cellStyle name="Normal 4 5 6 2 6" xfId="8247" xr:uid="{00000000-0005-0000-0000-0000411E0000}"/>
    <cellStyle name="Normal 4 5 6 2 7" xfId="8248" xr:uid="{00000000-0005-0000-0000-0000421E0000}"/>
    <cellStyle name="Normal 4 5 6 3" xfId="8249" xr:uid="{00000000-0005-0000-0000-0000431E0000}"/>
    <cellStyle name="Normal 4 5 6 3 2" xfId="8250" xr:uid="{00000000-0005-0000-0000-0000441E0000}"/>
    <cellStyle name="Normal 4 5 6 3 2 2" xfId="8251" xr:uid="{00000000-0005-0000-0000-0000451E0000}"/>
    <cellStyle name="Normal 4 5 6 3 2 3" xfId="8252" xr:uid="{00000000-0005-0000-0000-0000461E0000}"/>
    <cellStyle name="Normal 4 5 6 3 3" xfId="8253" xr:uid="{00000000-0005-0000-0000-0000471E0000}"/>
    <cellStyle name="Normal 4 5 6 3 4" xfId="8254" xr:uid="{00000000-0005-0000-0000-0000481E0000}"/>
    <cellStyle name="Normal 4 5 6 3 5" xfId="8255" xr:uid="{00000000-0005-0000-0000-0000491E0000}"/>
    <cellStyle name="Normal 4 5 6 4" xfId="8256" xr:uid="{00000000-0005-0000-0000-00004A1E0000}"/>
    <cellStyle name="Normal 4 5 6 4 2" xfId="8257" xr:uid="{00000000-0005-0000-0000-00004B1E0000}"/>
    <cellStyle name="Normal 4 5 6 4 2 2" xfId="8258" xr:uid="{00000000-0005-0000-0000-00004C1E0000}"/>
    <cellStyle name="Normal 4 5 6 4 2 3" xfId="8259" xr:uid="{00000000-0005-0000-0000-00004D1E0000}"/>
    <cellStyle name="Normal 4 5 6 4 3" xfId="8260" xr:uid="{00000000-0005-0000-0000-00004E1E0000}"/>
    <cellStyle name="Normal 4 5 6 4 4" xfId="8261" xr:uid="{00000000-0005-0000-0000-00004F1E0000}"/>
    <cellStyle name="Normal 4 5 6 4 5" xfId="8262" xr:uid="{00000000-0005-0000-0000-0000501E0000}"/>
    <cellStyle name="Normal 4 5 6 5" xfId="8263" xr:uid="{00000000-0005-0000-0000-0000511E0000}"/>
    <cellStyle name="Normal 4 5 6 5 2" xfId="8264" xr:uid="{00000000-0005-0000-0000-0000521E0000}"/>
    <cellStyle name="Normal 4 5 6 5 3" xfId="8265" xr:uid="{00000000-0005-0000-0000-0000531E0000}"/>
    <cellStyle name="Normal 4 5 6 6" xfId="8266" xr:uid="{00000000-0005-0000-0000-0000541E0000}"/>
    <cellStyle name="Normal 4 5 6 7" xfId="8267" xr:uid="{00000000-0005-0000-0000-0000551E0000}"/>
    <cellStyle name="Normal 4 5 6 8" xfId="8268" xr:uid="{00000000-0005-0000-0000-0000561E0000}"/>
    <cellStyle name="Normal 4 5 7" xfId="8269" xr:uid="{00000000-0005-0000-0000-0000571E0000}"/>
    <cellStyle name="Normal 4 5 7 2" xfId="8270" xr:uid="{00000000-0005-0000-0000-0000581E0000}"/>
    <cellStyle name="Normal 4 5 7 2 2" xfId="8271" xr:uid="{00000000-0005-0000-0000-0000591E0000}"/>
    <cellStyle name="Normal 4 5 7 2 2 2" xfId="8272" xr:uid="{00000000-0005-0000-0000-00005A1E0000}"/>
    <cellStyle name="Normal 4 5 7 2 2 3" xfId="8273" xr:uid="{00000000-0005-0000-0000-00005B1E0000}"/>
    <cellStyle name="Normal 4 5 7 2 3" xfId="8274" xr:uid="{00000000-0005-0000-0000-00005C1E0000}"/>
    <cellStyle name="Normal 4 5 7 2 4" xfId="8275" xr:uid="{00000000-0005-0000-0000-00005D1E0000}"/>
    <cellStyle name="Normal 4 5 7 2 5" xfId="8276" xr:uid="{00000000-0005-0000-0000-00005E1E0000}"/>
    <cellStyle name="Normal 4 5 7 3" xfId="8277" xr:uid="{00000000-0005-0000-0000-00005F1E0000}"/>
    <cellStyle name="Normal 4 5 7 3 2" xfId="8278" xr:uid="{00000000-0005-0000-0000-0000601E0000}"/>
    <cellStyle name="Normal 4 5 7 3 2 2" xfId="8279" xr:uid="{00000000-0005-0000-0000-0000611E0000}"/>
    <cellStyle name="Normal 4 5 7 3 2 3" xfId="8280" xr:uid="{00000000-0005-0000-0000-0000621E0000}"/>
    <cellStyle name="Normal 4 5 7 3 3" xfId="8281" xr:uid="{00000000-0005-0000-0000-0000631E0000}"/>
    <cellStyle name="Normal 4 5 7 3 4" xfId="8282" xr:uid="{00000000-0005-0000-0000-0000641E0000}"/>
    <cellStyle name="Normal 4 5 7 3 5" xfId="8283" xr:uid="{00000000-0005-0000-0000-0000651E0000}"/>
    <cellStyle name="Normal 4 5 7 4" xfId="8284" xr:uid="{00000000-0005-0000-0000-0000661E0000}"/>
    <cellStyle name="Normal 4 5 7 4 2" xfId="8285" xr:uid="{00000000-0005-0000-0000-0000671E0000}"/>
    <cellStyle name="Normal 4 5 7 4 3" xfId="8286" xr:uid="{00000000-0005-0000-0000-0000681E0000}"/>
    <cellStyle name="Normal 4 5 7 5" xfId="8287" xr:uid="{00000000-0005-0000-0000-0000691E0000}"/>
    <cellStyle name="Normal 4 5 7 6" xfId="8288" xr:uid="{00000000-0005-0000-0000-00006A1E0000}"/>
    <cellStyle name="Normal 4 5 7 7" xfId="8289" xr:uid="{00000000-0005-0000-0000-00006B1E0000}"/>
    <cellStyle name="Normal 4 5 8" xfId="8290" xr:uid="{00000000-0005-0000-0000-00006C1E0000}"/>
    <cellStyle name="Normal 4 5 8 2" xfId="8291" xr:uid="{00000000-0005-0000-0000-00006D1E0000}"/>
    <cellStyle name="Normal 4 5 8 2 2" xfId="8292" xr:uid="{00000000-0005-0000-0000-00006E1E0000}"/>
    <cellStyle name="Normal 4 5 8 2 2 2" xfId="8293" xr:uid="{00000000-0005-0000-0000-00006F1E0000}"/>
    <cellStyle name="Normal 4 5 8 2 2 3" xfId="8294" xr:uid="{00000000-0005-0000-0000-0000701E0000}"/>
    <cellStyle name="Normal 4 5 8 2 3" xfId="8295" xr:uid="{00000000-0005-0000-0000-0000711E0000}"/>
    <cellStyle name="Normal 4 5 8 2 4" xfId="8296" xr:uid="{00000000-0005-0000-0000-0000721E0000}"/>
    <cellStyle name="Normal 4 5 8 2 5" xfId="8297" xr:uid="{00000000-0005-0000-0000-0000731E0000}"/>
    <cellStyle name="Normal 4 5 8 3" xfId="8298" xr:uid="{00000000-0005-0000-0000-0000741E0000}"/>
    <cellStyle name="Normal 4 5 8 3 2" xfId="8299" xr:uid="{00000000-0005-0000-0000-0000751E0000}"/>
    <cellStyle name="Normal 4 5 8 3 2 2" xfId="8300" xr:uid="{00000000-0005-0000-0000-0000761E0000}"/>
    <cellStyle name="Normal 4 5 8 3 2 3" xfId="8301" xr:uid="{00000000-0005-0000-0000-0000771E0000}"/>
    <cellStyle name="Normal 4 5 8 3 3" xfId="8302" xr:uid="{00000000-0005-0000-0000-0000781E0000}"/>
    <cellStyle name="Normal 4 5 8 3 4" xfId="8303" xr:uid="{00000000-0005-0000-0000-0000791E0000}"/>
    <cellStyle name="Normal 4 5 8 3 5" xfId="8304" xr:uid="{00000000-0005-0000-0000-00007A1E0000}"/>
    <cellStyle name="Normal 4 5 8 4" xfId="8305" xr:uid="{00000000-0005-0000-0000-00007B1E0000}"/>
    <cellStyle name="Normal 4 5 8 4 2" xfId="8306" xr:uid="{00000000-0005-0000-0000-00007C1E0000}"/>
    <cellStyle name="Normal 4 5 8 4 3" xfId="8307" xr:uid="{00000000-0005-0000-0000-00007D1E0000}"/>
    <cellStyle name="Normal 4 5 8 5" xfId="8308" xr:uid="{00000000-0005-0000-0000-00007E1E0000}"/>
    <cellStyle name="Normal 4 5 8 6" xfId="8309" xr:uid="{00000000-0005-0000-0000-00007F1E0000}"/>
    <cellStyle name="Normal 4 5 8 7" xfId="8310" xr:uid="{00000000-0005-0000-0000-0000801E0000}"/>
    <cellStyle name="Normal 4 5 9" xfId="8311" xr:uid="{00000000-0005-0000-0000-0000811E0000}"/>
    <cellStyle name="Normal 4 5 9 2" xfId="8312" xr:uid="{00000000-0005-0000-0000-0000821E0000}"/>
    <cellStyle name="Normal 4 5 9 2 2" xfId="8313" xr:uid="{00000000-0005-0000-0000-0000831E0000}"/>
    <cellStyle name="Normal 4 5 9 2 3" xfId="8314" xr:uid="{00000000-0005-0000-0000-0000841E0000}"/>
    <cellStyle name="Normal 4 5 9 3" xfId="8315" xr:uid="{00000000-0005-0000-0000-0000851E0000}"/>
    <cellStyle name="Normal 4 5 9 4" xfId="8316" xr:uid="{00000000-0005-0000-0000-0000861E0000}"/>
    <cellStyle name="Normal 4 5 9 5" xfId="8317" xr:uid="{00000000-0005-0000-0000-0000871E0000}"/>
    <cellStyle name="Normal 4 6" xfId="8318" xr:uid="{00000000-0005-0000-0000-0000881E0000}"/>
    <cellStyle name="Normal 4 6 10" xfId="8319" xr:uid="{00000000-0005-0000-0000-0000891E0000}"/>
    <cellStyle name="Normal 4 6 11" xfId="8320" xr:uid="{00000000-0005-0000-0000-00008A1E0000}"/>
    <cellStyle name="Normal 4 6 12" xfId="8321" xr:uid="{00000000-0005-0000-0000-00008B1E0000}"/>
    <cellStyle name="Normal 4 6 2" xfId="8322" xr:uid="{00000000-0005-0000-0000-00008C1E0000}"/>
    <cellStyle name="Normal 4 6 2 2" xfId="8323" xr:uid="{00000000-0005-0000-0000-00008D1E0000}"/>
    <cellStyle name="Normal 4 6 2 2 2" xfId="8324" xr:uid="{00000000-0005-0000-0000-00008E1E0000}"/>
    <cellStyle name="Normal 4 6 2 2 2 2" xfId="8325" xr:uid="{00000000-0005-0000-0000-00008F1E0000}"/>
    <cellStyle name="Normal 4 6 2 2 2 2 2" xfId="8326" xr:uid="{00000000-0005-0000-0000-0000901E0000}"/>
    <cellStyle name="Normal 4 6 2 2 2 2 2 2" xfId="8327" xr:uid="{00000000-0005-0000-0000-0000911E0000}"/>
    <cellStyle name="Normal 4 6 2 2 2 2 2 3" xfId="8328" xr:uid="{00000000-0005-0000-0000-0000921E0000}"/>
    <cellStyle name="Normal 4 6 2 2 2 2 3" xfId="8329" xr:uid="{00000000-0005-0000-0000-0000931E0000}"/>
    <cellStyle name="Normal 4 6 2 2 2 2 4" xfId="8330" xr:uid="{00000000-0005-0000-0000-0000941E0000}"/>
    <cellStyle name="Normal 4 6 2 2 2 2 5" xfId="8331" xr:uid="{00000000-0005-0000-0000-0000951E0000}"/>
    <cellStyle name="Normal 4 6 2 2 2 3" xfId="8332" xr:uid="{00000000-0005-0000-0000-0000961E0000}"/>
    <cellStyle name="Normal 4 6 2 2 2 3 2" xfId="8333" xr:uid="{00000000-0005-0000-0000-0000971E0000}"/>
    <cellStyle name="Normal 4 6 2 2 2 3 2 2" xfId="8334" xr:uid="{00000000-0005-0000-0000-0000981E0000}"/>
    <cellStyle name="Normal 4 6 2 2 2 3 2 3" xfId="8335" xr:uid="{00000000-0005-0000-0000-0000991E0000}"/>
    <cellStyle name="Normal 4 6 2 2 2 3 3" xfId="8336" xr:uid="{00000000-0005-0000-0000-00009A1E0000}"/>
    <cellStyle name="Normal 4 6 2 2 2 3 4" xfId="8337" xr:uid="{00000000-0005-0000-0000-00009B1E0000}"/>
    <cellStyle name="Normal 4 6 2 2 2 3 5" xfId="8338" xr:uid="{00000000-0005-0000-0000-00009C1E0000}"/>
    <cellStyle name="Normal 4 6 2 2 2 4" xfId="8339" xr:uid="{00000000-0005-0000-0000-00009D1E0000}"/>
    <cellStyle name="Normal 4 6 2 2 2 4 2" xfId="8340" xr:uid="{00000000-0005-0000-0000-00009E1E0000}"/>
    <cellStyle name="Normal 4 6 2 2 2 4 3" xfId="8341" xr:uid="{00000000-0005-0000-0000-00009F1E0000}"/>
    <cellStyle name="Normal 4 6 2 2 2 5" xfId="8342" xr:uid="{00000000-0005-0000-0000-0000A01E0000}"/>
    <cellStyle name="Normal 4 6 2 2 2 6" xfId="8343" xr:uid="{00000000-0005-0000-0000-0000A11E0000}"/>
    <cellStyle name="Normal 4 6 2 2 2 7" xfId="8344" xr:uid="{00000000-0005-0000-0000-0000A21E0000}"/>
    <cellStyle name="Normal 4 6 2 2 3" xfId="8345" xr:uid="{00000000-0005-0000-0000-0000A31E0000}"/>
    <cellStyle name="Normal 4 6 2 2 3 2" xfId="8346" xr:uid="{00000000-0005-0000-0000-0000A41E0000}"/>
    <cellStyle name="Normal 4 6 2 2 3 2 2" xfId="8347" xr:uid="{00000000-0005-0000-0000-0000A51E0000}"/>
    <cellStyle name="Normal 4 6 2 2 3 2 3" xfId="8348" xr:uid="{00000000-0005-0000-0000-0000A61E0000}"/>
    <cellStyle name="Normal 4 6 2 2 3 3" xfId="8349" xr:uid="{00000000-0005-0000-0000-0000A71E0000}"/>
    <cellStyle name="Normal 4 6 2 2 3 4" xfId="8350" xr:uid="{00000000-0005-0000-0000-0000A81E0000}"/>
    <cellStyle name="Normal 4 6 2 2 3 5" xfId="8351" xr:uid="{00000000-0005-0000-0000-0000A91E0000}"/>
    <cellStyle name="Normal 4 6 2 2 4" xfId="8352" xr:uid="{00000000-0005-0000-0000-0000AA1E0000}"/>
    <cellStyle name="Normal 4 6 2 2 4 2" xfId="8353" xr:uid="{00000000-0005-0000-0000-0000AB1E0000}"/>
    <cellStyle name="Normal 4 6 2 2 4 2 2" xfId="8354" xr:uid="{00000000-0005-0000-0000-0000AC1E0000}"/>
    <cellStyle name="Normal 4 6 2 2 4 2 3" xfId="8355" xr:uid="{00000000-0005-0000-0000-0000AD1E0000}"/>
    <cellStyle name="Normal 4 6 2 2 4 3" xfId="8356" xr:uid="{00000000-0005-0000-0000-0000AE1E0000}"/>
    <cellStyle name="Normal 4 6 2 2 4 4" xfId="8357" xr:uid="{00000000-0005-0000-0000-0000AF1E0000}"/>
    <cellStyle name="Normal 4 6 2 2 4 5" xfId="8358" xr:uid="{00000000-0005-0000-0000-0000B01E0000}"/>
    <cellStyle name="Normal 4 6 2 2 5" xfId="8359" xr:uid="{00000000-0005-0000-0000-0000B11E0000}"/>
    <cellStyle name="Normal 4 6 2 2 5 2" xfId="8360" xr:uid="{00000000-0005-0000-0000-0000B21E0000}"/>
    <cellStyle name="Normal 4 6 2 2 5 3" xfId="8361" xr:uid="{00000000-0005-0000-0000-0000B31E0000}"/>
    <cellStyle name="Normal 4 6 2 2 6" xfId="8362" xr:uid="{00000000-0005-0000-0000-0000B41E0000}"/>
    <cellStyle name="Normal 4 6 2 2 7" xfId="8363" xr:uid="{00000000-0005-0000-0000-0000B51E0000}"/>
    <cellStyle name="Normal 4 6 2 2 8" xfId="8364" xr:uid="{00000000-0005-0000-0000-0000B61E0000}"/>
    <cellStyle name="Normal 4 6 2 3" xfId="8365" xr:uid="{00000000-0005-0000-0000-0000B71E0000}"/>
    <cellStyle name="Normal 4 6 2 3 2" xfId="8366" xr:uid="{00000000-0005-0000-0000-0000B81E0000}"/>
    <cellStyle name="Normal 4 6 2 3 2 2" xfId="8367" xr:uid="{00000000-0005-0000-0000-0000B91E0000}"/>
    <cellStyle name="Normal 4 6 2 3 2 2 2" xfId="8368" xr:uid="{00000000-0005-0000-0000-0000BA1E0000}"/>
    <cellStyle name="Normal 4 6 2 3 2 2 3" xfId="8369" xr:uid="{00000000-0005-0000-0000-0000BB1E0000}"/>
    <cellStyle name="Normal 4 6 2 3 2 3" xfId="8370" xr:uid="{00000000-0005-0000-0000-0000BC1E0000}"/>
    <cellStyle name="Normal 4 6 2 3 2 4" xfId="8371" xr:uid="{00000000-0005-0000-0000-0000BD1E0000}"/>
    <cellStyle name="Normal 4 6 2 3 2 5" xfId="8372" xr:uid="{00000000-0005-0000-0000-0000BE1E0000}"/>
    <cellStyle name="Normal 4 6 2 3 3" xfId="8373" xr:uid="{00000000-0005-0000-0000-0000BF1E0000}"/>
    <cellStyle name="Normal 4 6 2 3 3 2" xfId="8374" xr:uid="{00000000-0005-0000-0000-0000C01E0000}"/>
    <cellStyle name="Normal 4 6 2 3 3 2 2" xfId="8375" xr:uid="{00000000-0005-0000-0000-0000C11E0000}"/>
    <cellStyle name="Normal 4 6 2 3 3 2 3" xfId="8376" xr:uid="{00000000-0005-0000-0000-0000C21E0000}"/>
    <cellStyle name="Normal 4 6 2 3 3 3" xfId="8377" xr:uid="{00000000-0005-0000-0000-0000C31E0000}"/>
    <cellStyle name="Normal 4 6 2 3 3 4" xfId="8378" xr:uid="{00000000-0005-0000-0000-0000C41E0000}"/>
    <cellStyle name="Normal 4 6 2 3 3 5" xfId="8379" xr:uid="{00000000-0005-0000-0000-0000C51E0000}"/>
    <cellStyle name="Normal 4 6 2 3 4" xfId="8380" xr:uid="{00000000-0005-0000-0000-0000C61E0000}"/>
    <cellStyle name="Normal 4 6 2 3 4 2" xfId="8381" xr:uid="{00000000-0005-0000-0000-0000C71E0000}"/>
    <cellStyle name="Normal 4 6 2 3 4 3" xfId="8382" xr:uid="{00000000-0005-0000-0000-0000C81E0000}"/>
    <cellStyle name="Normal 4 6 2 3 5" xfId="8383" xr:uid="{00000000-0005-0000-0000-0000C91E0000}"/>
    <cellStyle name="Normal 4 6 2 3 6" xfId="8384" xr:uid="{00000000-0005-0000-0000-0000CA1E0000}"/>
    <cellStyle name="Normal 4 6 2 3 7" xfId="8385" xr:uid="{00000000-0005-0000-0000-0000CB1E0000}"/>
    <cellStyle name="Normal 4 6 2 4" xfId="8386" xr:uid="{00000000-0005-0000-0000-0000CC1E0000}"/>
    <cellStyle name="Normal 4 6 2 4 2" xfId="8387" xr:uid="{00000000-0005-0000-0000-0000CD1E0000}"/>
    <cellStyle name="Normal 4 6 2 4 2 2" xfId="8388" xr:uid="{00000000-0005-0000-0000-0000CE1E0000}"/>
    <cellStyle name="Normal 4 6 2 4 2 3" xfId="8389" xr:uid="{00000000-0005-0000-0000-0000CF1E0000}"/>
    <cellStyle name="Normal 4 6 2 4 3" xfId="8390" xr:uid="{00000000-0005-0000-0000-0000D01E0000}"/>
    <cellStyle name="Normal 4 6 2 4 4" xfId="8391" xr:uid="{00000000-0005-0000-0000-0000D11E0000}"/>
    <cellStyle name="Normal 4 6 2 4 5" xfId="8392" xr:uid="{00000000-0005-0000-0000-0000D21E0000}"/>
    <cellStyle name="Normal 4 6 2 5" xfId="8393" xr:uid="{00000000-0005-0000-0000-0000D31E0000}"/>
    <cellStyle name="Normal 4 6 2 5 2" xfId="8394" xr:uid="{00000000-0005-0000-0000-0000D41E0000}"/>
    <cellStyle name="Normal 4 6 2 5 2 2" xfId="8395" xr:uid="{00000000-0005-0000-0000-0000D51E0000}"/>
    <cellStyle name="Normal 4 6 2 5 2 3" xfId="8396" xr:uid="{00000000-0005-0000-0000-0000D61E0000}"/>
    <cellStyle name="Normal 4 6 2 5 3" xfId="8397" xr:uid="{00000000-0005-0000-0000-0000D71E0000}"/>
    <cellStyle name="Normal 4 6 2 5 4" xfId="8398" xr:uid="{00000000-0005-0000-0000-0000D81E0000}"/>
    <cellStyle name="Normal 4 6 2 5 5" xfId="8399" xr:uid="{00000000-0005-0000-0000-0000D91E0000}"/>
    <cellStyle name="Normal 4 6 2 6" xfId="8400" xr:uid="{00000000-0005-0000-0000-0000DA1E0000}"/>
    <cellStyle name="Normal 4 6 2 6 2" xfId="8401" xr:uid="{00000000-0005-0000-0000-0000DB1E0000}"/>
    <cellStyle name="Normal 4 6 2 6 3" xfId="8402" xr:uid="{00000000-0005-0000-0000-0000DC1E0000}"/>
    <cellStyle name="Normal 4 6 2 7" xfId="8403" xr:uid="{00000000-0005-0000-0000-0000DD1E0000}"/>
    <cellStyle name="Normal 4 6 2 8" xfId="8404" xr:uid="{00000000-0005-0000-0000-0000DE1E0000}"/>
    <cellStyle name="Normal 4 6 2 9" xfId="8405" xr:uid="{00000000-0005-0000-0000-0000DF1E0000}"/>
    <cellStyle name="Normal 4 6 3" xfId="8406" xr:uid="{00000000-0005-0000-0000-0000E01E0000}"/>
    <cellStyle name="Normal 4 6 3 2" xfId="8407" xr:uid="{00000000-0005-0000-0000-0000E11E0000}"/>
    <cellStyle name="Normal 4 6 3 2 2" xfId="8408" xr:uid="{00000000-0005-0000-0000-0000E21E0000}"/>
    <cellStyle name="Normal 4 6 3 2 2 2" xfId="8409" xr:uid="{00000000-0005-0000-0000-0000E31E0000}"/>
    <cellStyle name="Normal 4 6 3 2 2 2 2" xfId="8410" xr:uid="{00000000-0005-0000-0000-0000E41E0000}"/>
    <cellStyle name="Normal 4 6 3 2 2 2 2 2" xfId="8411" xr:uid="{00000000-0005-0000-0000-0000E51E0000}"/>
    <cellStyle name="Normal 4 6 3 2 2 2 2 3" xfId="8412" xr:uid="{00000000-0005-0000-0000-0000E61E0000}"/>
    <cellStyle name="Normal 4 6 3 2 2 2 3" xfId="8413" xr:uid="{00000000-0005-0000-0000-0000E71E0000}"/>
    <cellStyle name="Normal 4 6 3 2 2 2 4" xfId="8414" xr:uid="{00000000-0005-0000-0000-0000E81E0000}"/>
    <cellStyle name="Normal 4 6 3 2 2 2 5" xfId="8415" xr:uid="{00000000-0005-0000-0000-0000E91E0000}"/>
    <cellStyle name="Normal 4 6 3 2 2 3" xfId="8416" xr:uid="{00000000-0005-0000-0000-0000EA1E0000}"/>
    <cellStyle name="Normal 4 6 3 2 2 3 2" xfId="8417" xr:uid="{00000000-0005-0000-0000-0000EB1E0000}"/>
    <cellStyle name="Normal 4 6 3 2 2 3 2 2" xfId="8418" xr:uid="{00000000-0005-0000-0000-0000EC1E0000}"/>
    <cellStyle name="Normal 4 6 3 2 2 3 2 3" xfId="8419" xr:uid="{00000000-0005-0000-0000-0000ED1E0000}"/>
    <cellStyle name="Normal 4 6 3 2 2 3 3" xfId="8420" xr:uid="{00000000-0005-0000-0000-0000EE1E0000}"/>
    <cellStyle name="Normal 4 6 3 2 2 3 4" xfId="8421" xr:uid="{00000000-0005-0000-0000-0000EF1E0000}"/>
    <cellStyle name="Normal 4 6 3 2 2 3 5" xfId="8422" xr:uid="{00000000-0005-0000-0000-0000F01E0000}"/>
    <cellStyle name="Normal 4 6 3 2 2 4" xfId="8423" xr:uid="{00000000-0005-0000-0000-0000F11E0000}"/>
    <cellStyle name="Normal 4 6 3 2 2 4 2" xfId="8424" xr:uid="{00000000-0005-0000-0000-0000F21E0000}"/>
    <cellStyle name="Normal 4 6 3 2 2 4 3" xfId="8425" xr:uid="{00000000-0005-0000-0000-0000F31E0000}"/>
    <cellStyle name="Normal 4 6 3 2 2 5" xfId="8426" xr:uid="{00000000-0005-0000-0000-0000F41E0000}"/>
    <cellStyle name="Normal 4 6 3 2 2 6" xfId="8427" xr:uid="{00000000-0005-0000-0000-0000F51E0000}"/>
    <cellStyle name="Normal 4 6 3 2 2 7" xfId="8428" xr:uid="{00000000-0005-0000-0000-0000F61E0000}"/>
    <cellStyle name="Normal 4 6 3 2 3" xfId="8429" xr:uid="{00000000-0005-0000-0000-0000F71E0000}"/>
    <cellStyle name="Normal 4 6 3 2 3 2" xfId="8430" xr:uid="{00000000-0005-0000-0000-0000F81E0000}"/>
    <cellStyle name="Normal 4 6 3 2 3 2 2" xfId="8431" xr:uid="{00000000-0005-0000-0000-0000F91E0000}"/>
    <cellStyle name="Normal 4 6 3 2 3 2 3" xfId="8432" xr:uid="{00000000-0005-0000-0000-0000FA1E0000}"/>
    <cellStyle name="Normal 4 6 3 2 3 3" xfId="8433" xr:uid="{00000000-0005-0000-0000-0000FB1E0000}"/>
    <cellStyle name="Normal 4 6 3 2 3 4" xfId="8434" xr:uid="{00000000-0005-0000-0000-0000FC1E0000}"/>
    <cellStyle name="Normal 4 6 3 2 3 5" xfId="8435" xr:uid="{00000000-0005-0000-0000-0000FD1E0000}"/>
    <cellStyle name="Normal 4 6 3 2 4" xfId="8436" xr:uid="{00000000-0005-0000-0000-0000FE1E0000}"/>
    <cellStyle name="Normal 4 6 3 2 4 2" xfId="8437" xr:uid="{00000000-0005-0000-0000-0000FF1E0000}"/>
    <cellStyle name="Normal 4 6 3 2 4 2 2" xfId="8438" xr:uid="{00000000-0005-0000-0000-0000001F0000}"/>
    <cellStyle name="Normal 4 6 3 2 4 2 3" xfId="8439" xr:uid="{00000000-0005-0000-0000-0000011F0000}"/>
    <cellStyle name="Normal 4 6 3 2 4 3" xfId="8440" xr:uid="{00000000-0005-0000-0000-0000021F0000}"/>
    <cellStyle name="Normal 4 6 3 2 4 4" xfId="8441" xr:uid="{00000000-0005-0000-0000-0000031F0000}"/>
    <cellStyle name="Normal 4 6 3 2 4 5" xfId="8442" xr:uid="{00000000-0005-0000-0000-0000041F0000}"/>
    <cellStyle name="Normal 4 6 3 2 5" xfId="8443" xr:uid="{00000000-0005-0000-0000-0000051F0000}"/>
    <cellStyle name="Normal 4 6 3 2 5 2" xfId="8444" xr:uid="{00000000-0005-0000-0000-0000061F0000}"/>
    <cellStyle name="Normal 4 6 3 2 5 3" xfId="8445" xr:uid="{00000000-0005-0000-0000-0000071F0000}"/>
    <cellStyle name="Normal 4 6 3 2 6" xfId="8446" xr:uid="{00000000-0005-0000-0000-0000081F0000}"/>
    <cellStyle name="Normal 4 6 3 2 7" xfId="8447" xr:uid="{00000000-0005-0000-0000-0000091F0000}"/>
    <cellStyle name="Normal 4 6 3 2 8" xfId="8448" xr:uid="{00000000-0005-0000-0000-00000A1F0000}"/>
    <cellStyle name="Normal 4 6 3 3" xfId="8449" xr:uid="{00000000-0005-0000-0000-00000B1F0000}"/>
    <cellStyle name="Normal 4 6 3 3 2" xfId="8450" xr:uid="{00000000-0005-0000-0000-00000C1F0000}"/>
    <cellStyle name="Normal 4 6 3 3 2 2" xfId="8451" xr:uid="{00000000-0005-0000-0000-00000D1F0000}"/>
    <cellStyle name="Normal 4 6 3 3 2 2 2" xfId="8452" xr:uid="{00000000-0005-0000-0000-00000E1F0000}"/>
    <cellStyle name="Normal 4 6 3 3 2 2 3" xfId="8453" xr:uid="{00000000-0005-0000-0000-00000F1F0000}"/>
    <cellStyle name="Normal 4 6 3 3 2 3" xfId="8454" xr:uid="{00000000-0005-0000-0000-0000101F0000}"/>
    <cellStyle name="Normal 4 6 3 3 2 4" xfId="8455" xr:uid="{00000000-0005-0000-0000-0000111F0000}"/>
    <cellStyle name="Normal 4 6 3 3 2 5" xfId="8456" xr:uid="{00000000-0005-0000-0000-0000121F0000}"/>
    <cellStyle name="Normal 4 6 3 3 3" xfId="8457" xr:uid="{00000000-0005-0000-0000-0000131F0000}"/>
    <cellStyle name="Normal 4 6 3 3 3 2" xfId="8458" xr:uid="{00000000-0005-0000-0000-0000141F0000}"/>
    <cellStyle name="Normal 4 6 3 3 3 2 2" xfId="8459" xr:uid="{00000000-0005-0000-0000-0000151F0000}"/>
    <cellStyle name="Normal 4 6 3 3 3 2 3" xfId="8460" xr:uid="{00000000-0005-0000-0000-0000161F0000}"/>
    <cellStyle name="Normal 4 6 3 3 3 3" xfId="8461" xr:uid="{00000000-0005-0000-0000-0000171F0000}"/>
    <cellStyle name="Normal 4 6 3 3 3 4" xfId="8462" xr:uid="{00000000-0005-0000-0000-0000181F0000}"/>
    <cellStyle name="Normal 4 6 3 3 3 5" xfId="8463" xr:uid="{00000000-0005-0000-0000-0000191F0000}"/>
    <cellStyle name="Normal 4 6 3 3 4" xfId="8464" xr:uid="{00000000-0005-0000-0000-00001A1F0000}"/>
    <cellStyle name="Normal 4 6 3 3 4 2" xfId="8465" xr:uid="{00000000-0005-0000-0000-00001B1F0000}"/>
    <cellStyle name="Normal 4 6 3 3 4 3" xfId="8466" xr:uid="{00000000-0005-0000-0000-00001C1F0000}"/>
    <cellStyle name="Normal 4 6 3 3 5" xfId="8467" xr:uid="{00000000-0005-0000-0000-00001D1F0000}"/>
    <cellStyle name="Normal 4 6 3 3 6" xfId="8468" xr:uid="{00000000-0005-0000-0000-00001E1F0000}"/>
    <cellStyle name="Normal 4 6 3 3 7" xfId="8469" xr:uid="{00000000-0005-0000-0000-00001F1F0000}"/>
    <cellStyle name="Normal 4 6 3 4" xfId="8470" xr:uid="{00000000-0005-0000-0000-0000201F0000}"/>
    <cellStyle name="Normal 4 6 3 4 2" xfId="8471" xr:uid="{00000000-0005-0000-0000-0000211F0000}"/>
    <cellStyle name="Normal 4 6 3 4 2 2" xfId="8472" xr:uid="{00000000-0005-0000-0000-0000221F0000}"/>
    <cellStyle name="Normal 4 6 3 4 2 3" xfId="8473" xr:uid="{00000000-0005-0000-0000-0000231F0000}"/>
    <cellStyle name="Normal 4 6 3 4 3" xfId="8474" xr:uid="{00000000-0005-0000-0000-0000241F0000}"/>
    <cellStyle name="Normal 4 6 3 4 4" xfId="8475" xr:uid="{00000000-0005-0000-0000-0000251F0000}"/>
    <cellStyle name="Normal 4 6 3 4 5" xfId="8476" xr:uid="{00000000-0005-0000-0000-0000261F0000}"/>
    <cellStyle name="Normal 4 6 3 5" xfId="8477" xr:uid="{00000000-0005-0000-0000-0000271F0000}"/>
    <cellStyle name="Normal 4 6 3 5 2" xfId="8478" xr:uid="{00000000-0005-0000-0000-0000281F0000}"/>
    <cellStyle name="Normal 4 6 3 5 2 2" xfId="8479" xr:uid="{00000000-0005-0000-0000-0000291F0000}"/>
    <cellStyle name="Normal 4 6 3 5 2 3" xfId="8480" xr:uid="{00000000-0005-0000-0000-00002A1F0000}"/>
    <cellStyle name="Normal 4 6 3 5 3" xfId="8481" xr:uid="{00000000-0005-0000-0000-00002B1F0000}"/>
    <cellStyle name="Normal 4 6 3 5 4" xfId="8482" xr:uid="{00000000-0005-0000-0000-00002C1F0000}"/>
    <cellStyle name="Normal 4 6 3 5 5" xfId="8483" xr:uid="{00000000-0005-0000-0000-00002D1F0000}"/>
    <cellStyle name="Normal 4 6 3 6" xfId="8484" xr:uid="{00000000-0005-0000-0000-00002E1F0000}"/>
    <cellStyle name="Normal 4 6 3 6 2" xfId="8485" xr:uid="{00000000-0005-0000-0000-00002F1F0000}"/>
    <cellStyle name="Normal 4 6 3 6 3" xfId="8486" xr:uid="{00000000-0005-0000-0000-0000301F0000}"/>
    <cellStyle name="Normal 4 6 3 7" xfId="8487" xr:uid="{00000000-0005-0000-0000-0000311F0000}"/>
    <cellStyle name="Normal 4 6 3 8" xfId="8488" xr:uid="{00000000-0005-0000-0000-0000321F0000}"/>
    <cellStyle name="Normal 4 6 3 9" xfId="8489" xr:uid="{00000000-0005-0000-0000-0000331F0000}"/>
    <cellStyle name="Normal 4 6 4" xfId="8490" xr:uid="{00000000-0005-0000-0000-0000341F0000}"/>
    <cellStyle name="Normal 4 6 4 2" xfId="8491" xr:uid="{00000000-0005-0000-0000-0000351F0000}"/>
    <cellStyle name="Normal 4 6 4 2 2" xfId="8492" xr:uid="{00000000-0005-0000-0000-0000361F0000}"/>
    <cellStyle name="Normal 4 6 4 2 2 2" xfId="8493" xr:uid="{00000000-0005-0000-0000-0000371F0000}"/>
    <cellStyle name="Normal 4 6 4 2 2 2 2" xfId="8494" xr:uid="{00000000-0005-0000-0000-0000381F0000}"/>
    <cellStyle name="Normal 4 6 4 2 2 2 2 2" xfId="8495" xr:uid="{00000000-0005-0000-0000-0000391F0000}"/>
    <cellStyle name="Normal 4 6 4 2 2 2 2 3" xfId="8496" xr:uid="{00000000-0005-0000-0000-00003A1F0000}"/>
    <cellStyle name="Normal 4 6 4 2 2 2 3" xfId="8497" xr:uid="{00000000-0005-0000-0000-00003B1F0000}"/>
    <cellStyle name="Normal 4 6 4 2 2 2 4" xfId="8498" xr:uid="{00000000-0005-0000-0000-00003C1F0000}"/>
    <cellStyle name="Normal 4 6 4 2 2 2 5" xfId="8499" xr:uid="{00000000-0005-0000-0000-00003D1F0000}"/>
    <cellStyle name="Normal 4 6 4 2 2 3" xfId="8500" xr:uid="{00000000-0005-0000-0000-00003E1F0000}"/>
    <cellStyle name="Normal 4 6 4 2 2 3 2" xfId="8501" xr:uid="{00000000-0005-0000-0000-00003F1F0000}"/>
    <cellStyle name="Normal 4 6 4 2 2 3 2 2" xfId="8502" xr:uid="{00000000-0005-0000-0000-0000401F0000}"/>
    <cellStyle name="Normal 4 6 4 2 2 3 2 3" xfId="8503" xr:uid="{00000000-0005-0000-0000-0000411F0000}"/>
    <cellStyle name="Normal 4 6 4 2 2 3 3" xfId="8504" xr:uid="{00000000-0005-0000-0000-0000421F0000}"/>
    <cellStyle name="Normal 4 6 4 2 2 3 4" xfId="8505" xr:uid="{00000000-0005-0000-0000-0000431F0000}"/>
    <cellStyle name="Normal 4 6 4 2 2 3 5" xfId="8506" xr:uid="{00000000-0005-0000-0000-0000441F0000}"/>
    <cellStyle name="Normal 4 6 4 2 2 4" xfId="8507" xr:uid="{00000000-0005-0000-0000-0000451F0000}"/>
    <cellStyle name="Normal 4 6 4 2 2 4 2" xfId="8508" xr:uid="{00000000-0005-0000-0000-0000461F0000}"/>
    <cellStyle name="Normal 4 6 4 2 2 4 3" xfId="8509" xr:uid="{00000000-0005-0000-0000-0000471F0000}"/>
    <cellStyle name="Normal 4 6 4 2 2 5" xfId="8510" xr:uid="{00000000-0005-0000-0000-0000481F0000}"/>
    <cellStyle name="Normal 4 6 4 2 2 6" xfId="8511" xr:uid="{00000000-0005-0000-0000-0000491F0000}"/>
    <cellStyle name="Normal 4 6 4 2 2 7" xfId="8512" xr:uid="{00000000-0005-0000-0000-00004A1F0000}"/>
    <cellStyle name="Normal 4 6 4 2 3" xfId="8513" xr:uid="{00000000-0005-0000-0000-00004B1F0000}"/>
    <cellStyle name="Normal 4 6 4 2 3 2" xfId="8514" xr:uid="{00000000-0005-0000-0000-00004C1F0000}"/>
    <cellStyle name="Normal 4 6 4 2 3 2 2" xfId="8515" xr:uid="{00000000-0005-0000-0000-00004D1F0000}"/>
    <cellStyle name="Normal 4 6 4 2 3 2 3" xfId="8516" xr:uid="{00000000-0005-0000-0000-00004E1F0000}"/>
    <cellStyle name="Normal 4 6 4 2 3 3" xfId="8517" xr:uid="{00000000-0005-0000-0000-00004F1F0000}"/>
    <cellStyle name="Normal 4 6 4 2 3 4" xfId="8518" xr:uid="{00000000-0005-0000-0000-0000501F0000}"/>
    <cellStyle name="Normal 4 6 4 2 3 5" xfId="8519" xr:uid="{00000000-0005-0000-0000-0000511F0000}"/>
    <cellStyle name="Normal 4 6 4 2 4" xfId="8520" xr:uid="{00000000-0005-0000-0000-0000521F0000}"/>
    <cellStyle name="Normal 4 6 4 2 4 2" xfId="8521" xr:uid="{00000000-0005-0000-0000-0000531F0000}"/>
    <cellStyle name="Normal 4 6 4 2 4 2 2" xfId="8522" xr:uid="{00000000-0005-0000-0000-0000541F0000}"/>
    <cellStyle name="Normal 4 6 4 2 4 2 3" xfId="8523" xr:uid="{00000000-0005-0000-0000-0000551F0000}"/>
    <cellStyle name="Normal 4 6 4 2 4 3" xfId="8524" xr:uid="{00000000-0005-0000-0000-0000561F0000}"/>
    <cellStyle name="Normal 4 6 4 2 4 4" xfId="8525" xr:uid="{00000000-0005-0000-0000-0000571F0000}"/>
    <cellStyle name="Normal 4 6 4 2 4 5" xfId="8526" xr:uid="{00000000-0005-0000-0000-0000581F0000}"/>
    <cellStyle name="Normal 4 6 4 2 5" xfId="8527" xr:uid="{00000000-0005-0000-0000-0000591F0000}"/>
    <cellStyle name="Normal 4 6 4 2 5 2" xfId="8528" xr:uid="{00000000-0005-0000-0000-00005A1F0000}"/>
    <cellStyle name="Normal 4 6 4 2 5 3" xfId="8529" xr:uid="{00000000-0005-0000-0000-00005B1F0000}"/>
    <cellStyle name="Normal 4 6 4 2 6" xfId="8530" xr:uid="{00000000-0005-0000-0000-00005C1F0000}"/>
    <cellStyle name="Normal 4 6 4 2 7" xfId="8531" xr:uid="{00000000-0005-0000-0000-00005D1F0000}"/>
    <cellStyle name="Normal 4 6 4 2 8" xfId="8532" xr:uid="{00000000-0005-0000-0000-00005E1F0000}"/>
    <cellStyle name="Normal 4 6 4 3" xfId="8533" xr:uid="{00000000-0005-0000-0000-00005F1F0000}"/>
    <cellStyle name="Normal 4 6 4 3 2" xfId="8534" xr:uid="{00000000-0005-0000-0000-0000601F0000}"/>
    <cellStyle name="Normal 4 6 4 3 2 2" xfId="8535" xr:uid="{00000000-0005-0000-0000-0000611F0000}"/>
    <cellStyle name="Normal 4 6 4 3 2 2 2" xfId="8536" xr:uid="{00000000-0005-0000-0000-0000621F0000}"/>
    <cellStyle name="Normal 4 6 4 3 2 2 3" xfId="8537" xr:uid="{00000000-0005-0000-0000-0000631F0000}"/>
    <cellStyle name="Normal 4 6 4 3 2 3" xfId="8538" xr:uid="{00000000-0005-0000-0000-0000641F0000}"/>
    <cellStyle name="Normal 4 6 4 3 2 4" xfId="8539" xr:uid="{00000000-0005-0000-0000-0000651F0000}"/>
    <cellStyle name="Normal 4 6 4 3 2 5" xfId="8540" xr:uid="{00000000-0005-0000-0000-0000661F0000}"/>
    <cellStyle name="Normal 4 6 4 3 3" xfId="8541" xr:uid="{00000000-0005-0000-0000-0000671F0000}"/>
    <cellStyle name="Normal 4 6 4 3 3 2" xfId="8542" xr:uid="{00000000-0005-0000-0000-0000681F0000}"/>
    <cellStyle name="Normal 4 6 4 3 3 2 2" xfId="8543" xr:uid="{00000000-0005-0000-0000-0000691F0000}"/>
    <cellStyle name="Normal 4 6 4 3 3 2 3" xfId="8544" xr:uid="{00000000-0005-0000-0000-00006A1F0000}"/>
    <cellStyle name="Normal 4 6 4 3 3 3" xfId="8545" xr:uid="{00000000-0005-0000-0000-00006B1F0000}"/>
    <cellStyle name="Normal 4 6 4 3 3 4" xfId="8546" xr:uid="{00000000-0005-0000-0000-00006C1F0000}"/>
    <cellStyle name="Normal 4 6 4 3 3 5" xfId="8547" xr:uid="{00000000-0005-0000-0000-00006D1F0000}"/>
    <cellStyle name="Normal 4 6 4 3 4" xfId="8548" xr:uid="{00000000-0005-0000-0000-00006E1F0000}"/>
    <cellStyle name="Normal 4 6 4 3 4 2" xfId="8549" xr:uid="{00000000-0005-0000-0000-00006F1F0000}"/>
    <cellStyle name="Normal 4 6 4 3 4 3" xfId="8550" xr:uid="{00000000-0005-0000-0000-0000701F0000}"/>
    <cellStyle name="Normal 4 6 4 3 5" xfId="8551" xr:uid="{00000000-0005-0000-0000-0000711F0000}"/>
    <cellStyle name="Normal 4 6 4 3 6" xfId="8552" xr:uid="{00000000-0005-0000-0000-0000721F0000}"/>
    <cellStyle name="Normal 4 6 4 3 7" xfId="8553" xr:uid="{00000000-0005-0000-0000-0000731F0000}"/>
    <cellStyle name="Normal 4 6 4 4" xfId="8554" xr:uid="{00000000-0005-0000-0000-0000741F0000}"/>
    <cellStyle name="Normal 4 6 4 4 2" xfId="8555" xr:uid="{00000000-0005-0000-0000-0000751F0000}"/>
    <cellStyle name="Normal 4 6 4 4 2 2" xfId="8556" xr:uid="{00000000-0005-0000-0000-0000761F0000}"/>
    <cellStyle name="Normal 4 6 4 4 2 3" xfId="8557" xr:uid="{00000000-0005-0000-0000-0000771F0000}"/>
    <cellStyle name="Normal 4 6 4 4 3" xfId="8558" xr:uid="{00000000-0005-0000-0000-0000781F0000}"/>
    <cellStyle name="Normal 4 6 4 4 4" xfId="8559" xr:uid="{00000000-0005-0000-0000-0000791F0000}"/>
    <cellStyle name="Normal 4 6 4 4 5" xfId="8560" xr:uid="{00000000-0005-0000-0000-00007A1F0000}"/>
    <cellStyle name="Normal 4 6 4 5" xfId="8561" xr:uid="{00000000-0005-0000-0000-00007B1F0000}"/>
    <cellStyle name="Normal 4 6 4 5 2" xfId="8562" xr:uid="{00000000-0005-0000-0000-00007C1F0000}"/>
    <cellStyle name="Normal 4 6 4 5 2 2" xfId="8563" xr:uid="{00000000-0005-0000-0000-00007D1F0000}"/>
    <cellStyle name="Normal 4 6 4 5 2 3" xfId="8564" xr:uid="{00000000-0005-0000-0000-00007E1F0000}"/>
    <cellStyle name="Normal 4 6 4 5 3" xfId="8565" xr:uid="{00000000-0005-0000-0000-00007F1F0000}"/>
    <cellStyle name="Normal 4 6 4 5 4" xfId="8566" xr:uid="{00000000-0005-0000-0000-0000801F0000}"/>
    <cellStyle name="Normal 4 6 4 5 5" xfId="8567" xr:uid="{00000000-0005-0000-0000-0000811F0000}"/>
    <cellStyle name="Normal 4 6 4 6" xfId="8568" xr:uid="{00000000-0005-0000-0000-0000821F0000}"/>
    <cellStyle name="Normal 4 6 4 6 2" xfId="8569" xr:uid="{00000000-0005-0000-0000-0000831F0000}"/>
    <cellStyle name="Normal 4 6 4 6 3" xfId="8570" xr:uid="{00000000-0005-0000-0000-0000841F0000}"/>
    <cellStyle name="Normal 4 6 4 7" xfId="8571" xr:uid="{00000000-0005-0000-0000-0000851F0000}"/>
    <cellStyle name="Normal 4 6 4 8" xfId="8572" xr:uid="{00000000-0005-0000-0000-0000861F0000}"/>
    <cellStyle name="Normal 4 6 4 9" xfId="8573" xr:uid="{00000000-0005-0000-0000-0000871F0000}"/>
    <cellStyle name="Normal 4 6 5" xfId="8574" xr:uid="{00000000-0005-0000-0000-0000881F0000}"/>
    <cellStyle name="Normal 4 6 5 2" xfId="8575" xr:uid="{00000000-0005-0000-0000-0000891F0000}"/>
    <cellStyle name="Normal 4 6 5 2 2" xfId="8576" xr:uid="{00000000-0005-0000-0000-00008A1F0000}"/>
    <cellStyle name="Normal 4 6 5 2 2 2" xfId="8577" xr:uid="{00000000-0005-0000-0000-00008B1F0000}"/>
    <cellStyle name="Normal 4 6 5 2 2 2 2" xfId="8578" xr:uid="{00000000-0005-0000-0000-00008C1F0000}"/>
    <cellStyle name="Normal 4 6 5 2 2 2 3" xfId="8579" xr:uid="{00000000-0005-0000-0000-00008D1F0000}"/>
    <cellStyle name="Normal 4 6 5 2 2 3" xfId="8580" xr:uid="{00000000-0005-0000-0000-00008E1F0000}"/>
    <cellStyle name="Normal 4 6 5 2 2 4" xfId="8581" xr:uid="{00000000-0005-0000-0000-00008F1F0000}"/>
    <cellStyle name="Normal 4 6 5 2 2 5" xfId="8582" xr:uid="{00000000-0005-0000-0000-0000901F0000}"/>
    <cellStyle name="Normal 4 6 5 2 3" xfId="8583" xr:uid="{00000000-0005-0000-0000-0000911F0000}"/>
    <cellStyle name="Normal 4 6 5 2 3 2" xfId="8584" xr:uid="{00000000-0005-0000-0000-0000921F0000}"/>
    <cellStyle name="Normal 4 6 5 2 3 2 2" xfId="8585" xr:uid="{00000000-0005-0000-0000-0000931F0000}"/>
    <cellStyle name="Normal 4 6 5 2 3 2 3" xfId="8586" xr:uid="{00000000-0005-0000-0000-0000941F0000}"/>
    <cellStyle name="Normal 4 6 5 2 3 3" xfId="8587" xr:uid="{00000000-0005-0000-0000-0000951F0000}"/>
    <cellStyle name="Normal 4 6 5 2 3 4" xfId="8588" xr:uid="{00000000-0005-0000-0000-0000961F0000}"/>
    <cellStyle name="Normal 4 6 5 2 3 5" xfId="8589" xr:uid="{00000000-0005-0000-0000-0000971F0000}"/>
    <cellStyle name="Normal 4 6 5 2 4" xfId="8590" xr:uid="{00000000-0005-0000-0000-0000981F0000}"/>
    <cellStyle name="Normal 4 6 5 2 4 2" xfId="8591" xr:uid="{00000000-0005-0000-0000-0000991F0000}"/>
    <cellStyle name="Normal 4 6 5 2 4 3" xfId="8592" xr:uid="{00000000-0005-0000-0000-00009A1F0000}"/>
    <cellStyle name="Normal 4 6 5 2 5" xfId="8593" xr:uid="{00000000-0005-0000-0000-00009B1F0000}"/>
    <cellStyle name="Normal 4 6 5 2 6" xfId="8594" xr:uid="{00000000-0005-0000-0000-00009C1F0000}"/>
    <cellStyle name="Normal 4 6 5 2 7" xfId="8595" xr:uid="{00000000-0005-0000-0000-00009D1F0000}"/>
    <cellStyle name="Normal 4 6 5 3" xfId="8596" xr:uid="{00000000-0005-0000-0000-00009E1F0000}"/>
    <cellStyle name="Normal 4 6 5 3 2" xfId="8597" xr:uid="{00000000-0005-0000-0000-00009F1F0000}"/>
    <cellStyle name="Normal 4 6 5 3 2 2" xfId="8598" xr:uid="{00000000-0005-0000-0000-0000A01F0000}"/>
    <cellStyle name="Normal 4 6 5 3 2 3" xfId="8599" xr:uid="{00000000-0005-0000-0000-0000A11F0000}"/>
    <cellStyle name="Normal 4 6 5 3 3" xfId="8600" xr:uid="{00000000-0005-0000-0000-0000A21F0000}"/>
    <cellStyle name="Normal 4 6 5 3 4" xfId="8601" xr:uid="{00000000-0005-0000-0000-0000A31F0000}"/>
    <cellStyle name="Normal 4 6 5 3 5" xfId="8602" xr:uid="{00000000-0005-0000-0000-0000A41F0000}"/>
    <cellStyle name="Normal 4 6 5 4" xfId="8603" xr:uid="{00000000-0005-0000-0000-0000A51F0000}"/>
    <cellStyle name="Normal 4 6 5 4 2" xfId="8604" xr:uid="{00000000-0005-0000-0000-0000A61F0000}"/>
    <cellStyle name="Normal 4 6 5 4 2 2" xfId="8605" xr:uid="{00000000-0005-0000-0000-0000A71F0000}"/>
    <cellStyle name="Normal 4 6 5 4 2 3" xfId="8606" xr:uid="{00000000-0005-0000-0000-0000A81F0000}"/>
    <cellStyle name="Normal 4 6 5 4 3" xfId="8607" xr:uid="{00000000-0005-0000-0000-0000A91F0000}"/>
    <cellStyle name="Normal 4 6 5 4 4" xfId="8608" xr:uid="{00000000-0005-0000-0000-0000AA1F0000}"/>
    <cellStyle name="Normal 4 6 5 4 5" xfId="8609" xr:uid="{00000000-0005-0000-0000-0000AB1F0000}"/>
    <cellStyle name="Normal 4 6 5 5" xfId="8610" xr:uid="{00000000-0005-0000-0000-0000AC1F0000}"/>
    <cellStyle name="Normal 4 6 5 5 2" xfId="8611" xr:uid="{00000000-0005-0000-0000-0000AD1F0000}"/>
    <cellStyle name="Normal 4 6 5 5 3" xfId="8612" xr:uid="{00000000-0005-0000-0000-0000AE1F0000}"/>
    <cellStyle name="Normal 4 6 5 6" xfId="8613" xr:uid="{00000000-0005-0000-0000-0000AF1F0000}"/>
    <cellStyle name="Normal 4 6 5 7" xfId="8614" xr:uid="{00000000-0005-0000-0000-0000B01F0000}"/>
    <cellStyle name="Normal 4 6 5 8" xfId="8615" xr:uid="{00000000-0005-0000-0000-0000B11F0000}"/>
    <cellStyle name="Normal 4 6 6" xfId="8616" xr:uid="{00000000-0005-0000-0000-0000B21F0000}"/>
    <cellStyle name="Normal 4 6 6 2" xfId="8617" xr:uid="{00000000-0005-0000-0000-0000B31F0000}"/>
    <cellStyle name="Normal 4 6 6 2 2" xfId="8618" xr:uid="{00000000-0005-0000-0000-0000B41F0000}"/>
    <cellStyle name="Normal 4 6 6 2 2 2" xfId="8619" xr:uid="{00000000-0005-0000-0000-0000B51F0000}"/>
    <cellStyle name="Normal 4 6 6 2 2 3" xfId="8620" xr:uid="{00000000-0005-0000-0000-0000B61F0000}"/>
    <cellStyle name="Normal 4 6 6 2 3" xfId="8621" xr:uid="{00000000-0005-0000-0000-0000B71F0000}"/>
    <cellStyle name="Normal 4 6 6 2 4" xfId="8622" xr:uid="{00000000-0005-0000-0000-0000B81F0000}"/>
    <cellStyle name="Normal 4 6 6 2 5" xfId="8623" xr:uid="{00000000-0005-0000-0000-0000B91F0000}"/>
    <cellStyle name="Normal 4 6 6 3" xfId="8624" xr:uid="{00000000-0005-0000-0000-0000BA1F0000}"/>
    <cellStyle name="Normal 4 6 6 3 2" xfId="8625" xr:uid="{00000000-0005-0000-0000-0000BB1F0000}"/>
    <cellStyle name="Normal 4 6 6 3 2 2" xfId="8626" xr:uid="{00000000-0005-0000-0000-0000BC1F0000}"/>
    <cellStyle name="Normal 4 6 6 3 2 3" xfId="8627" xr:uid="{00000000-0005-0000-0000-0000BD1F0000}"/>
    <cellStyle name="Normal 4 6 6 3 3" xfId="8628" xr:uid="{00000000-0005-0000-0000-0000BE1F0000}"/>
    <cellStyle name="Normal 4 6 6 3 4" xfId="8629" xr:uid="{00000000-0005-0000-0000-0000BF1F0000}"/>
    <cellStyle name="Normal 4 6 6 3 5" xfId="8630" xr:uid="{00000000-0005-0000-0000-0000C01F0000}"/>
    <cellStyle name="Normal 4 6 6 4" xfId="8631" xr:uid="{00000000-0005-0000-0000-0000C11F0000}"/>
    <cellStyle name="Normal 4 6 6 4 2" xfId="8632" xr:uid="{00000000-0005-0000-0000-0000C21F0000}"/>
    <cellStyle name="Normal 4 6 6 4 3" xfId="8633" xr:uid="{00000000-0005-0000-0000-0000C31F0000}"/>
    <cellStyle name="Normal 4 6 6 5" xfId="8634" xr:uid="{00000000-0005-0000-0000-0000C41F0000}"/>
    <cellStyle name="Normal 4 6 6 6" xfId="8635" xr:uid="{00000000-0005-0000-0000-0000C51F0000}"/>
    <cellStyle name="Normal 4 6 6 7" xfId="8636" xr:uid="{00000000-0005-0000-0000-0000C61F0000}"/>
    <cellStyle name="Normal 4 6 7" xfId="8637" xr:uid="{00000000-0005-0000-0000-0000C71F0000}"/>
    <cellStyle name="Normal 4 6 7 2" xfId="8638" xr:uid="{00000000-0005-0000-0000-0000C81F0000}"/>
    <cellStyle name="Normal 4 6 7 2 2" xfId="8639" xr:uid="{00000000-0005-0000-0000-0000C91F0000}"/>
    <cellStyle name="Normal 4 6 7 2 3" xfId="8640" xr:uid="{00000000-0005-0000-0000-0000CA1F0000}"/>
    <cellStyle name="Normal 4 6 7 3" xfId="8641" xr:uid="{00000000-0005-0000-0000-0000CB1F0000}"/>
    <cellStyle name="Normal 4 6 7 4" xfId="8642" xr:uid="{00000000-0005-0000-0000-0000CC1F0000}"/>
    <cellStyle name="Normal 4 6 7 5" xfId="8643" xr:uid="{00000000-0005-0000-0000-0000CD1F0000}"/>
    <cellStyle name="Normal 4 6 8" xfId="8644" xr:uid="{00000000-0005-0000-0000-0000CE1F0000}"/>
    <cellStyle name="Normal 4 6 8 2" xfId="8645" xr:uid="{00000000-0005-0000-0000-0000CF1F0000}"/>
    <cellStyle name="Normal 4 6 8 2 2" xfId="8646" xr:uid="{00000000-0005-0000-0000-0000D01F0000}"/>
    <cellStyle name="Normal 4 6 8 2 3" xfId="8647" xr:uid="{00000000-0005-0000-0000-0000D11F0000}"/>
    <cellStyle name="Normal 4 6 8 3" xfId="8648" xr:uid="{00000000-0005-0000-0000-0000D21F0000}"/>
    <cellStyle name="Normal 4 6 8 4" xfId="8649" xr:uid="{00000000-0005-0000-0000-0000D31F0000}"/>
    <cellStyle name="Normal 4 6 8 5" xfId="8650" xr:uid="{00000000-0005-0000-0000-0000D41F0000}"/>
    <cellStyle name="Normal 4 6 9" xfId="8651" xr:uid="{00000000-0005-0000-0000-0000D51F0000}"/>
    <cellStyle name="Normal 4 6 9 2" xfId="8652" xr:uid="{00000000-0005-0000-0000-0000D61F0000}"/>
    <cellStyle name="Normal 4 6 9 3" xfId="8653" xr:uid="{00000000-0005-0000-0000-0000D71F0000}"/>
    <cellStyle name="Normal 4 7" xfId="8654" xr:uid="{00000000-0005-0000-0000-0000D81F0000}"/>
    <cellStyle name="Normal 4 7 2" xfId="8655" xr:uid="{00000000-0005-0000-0000-0000D91F0000}"/>
    <cellStyle name="Normal 4 7 2 2" xfId="8656" xr:uid="{00000000-0005-0000-0000-0000DA1F0000}"/>
    <cellStyle name="Normal 4 7 2 2 2" xfId="8657" xr:uid="{00000000-0005-0000-0000-0000DB1F0000}"/>
    <cellStyle name="Normal 4 7 2 2 2 2" xfId="8658" xr:uid="{00000000-0005-0000-0000-0000DC1F0000}"/>
    <cellStyle name="Normal 4 7 2 2 2 2 2" xfId="8659" xr:uid="{00000000-0005-0000-0000-0000DD1F0000}"/>
    <cellStyle name="Normal 4 7 2 2 2 2 3" xfId="8660" xr:uid="{00000000-0005-0000-0000-0000DE1F0000}"/>
    <cellStyle name="Normal 4 7 2 2 2 3" xfId="8661" xr:uid="{00000000-0005-0000-0000-0000DF1F0000}"/>
    <cellStyle name="Normal 4 7 2 2 2 4" xfId="8662" xr:uid="{00000000-0005-0000-0000-0000E01F0000}"/>
    <cellStyle name="Normal 4 7 2 2 2 5" xfId="8663" xr:uid="{00000000-0005-0000-0000-0000E11F0000}"/>
    <cellStyle name="Normal 4 7 2 2 3" xfId="8664" xr:uid="{00000000-0005-0000-0000-0000E21F0000}"/>
    <cellStyle name="Normal 4 7 2 2 3 2" xfId="8665" xr:uid="{00000000-0005-0000-0000-0000E31F0000}"/>
    <cellStyle name="Normal 4 7 2 2 3 2 2" xfId="8666" xr:uid="{00000000-0005-0000-0000-0000E41F0000}"/>
    <cellStyle name="Normal 4 7 2 2 3 2 3" xfId="8667" xr:uid="{00000000-0005-0000-0000-0000E51F0000}"/>
    <cellStyle name="Normal 4 7 2 2 3 3" xfId="8668" xr:uid="{00000000-0005-0000-0000-0000E61F0000}"/>
    <cellStyle name="Normal 4 7 2 2 3 4" xfId="8669" xr:uid="{00000000-0005-0000-0000-0000E71F0000}"/>
    <cellStyle name="Normal 4 7 2 2 3 5" xfId="8670" xr:uid="{00000000-0005-0000-0000-0000E81F0000}"/>
    <cellStyle name="Normal 4 7 2 2 4" xfId="8671" xr:uid="{00000000-0005-0000-0000-0000E91F0000}"/>
    <cellStyle name="Normal 4 7 2 2 4 2" xfId="8672" xr:uid="{00000000-0005-0000-0000-0000EA1F0000}"/>
    <cellStyle name="Normal 4 7 2 2 4 3" xfId="8673" xr:uid="{00000000-0005-0000-0000-0000EB1F0000}"/>
    <cellStyle name="Normal 4 7 2 2 5" xfId="8674" xr:uid="{00000000-0005-0000-0000-0000EC1F0000}"/>
    <cellStyle name="Normal 4 7 2 2 6" xfId="8675" xr:uid="{00000000-0005-0000-0000-0000ED1F0000}"/>
    <cellStyle name="Normal 4 7 2 2 7" xfId="8676" xr:uid="{00000000-0005-0000-0000-0000EE1F0000}"/>
    <cellStyle name="Normal 4 7 2 3" xfId="8677" xr:uid="{00000000-0005-0000-0000-0000EF1F0000}"/>
    <cellStyle name="Normal 4 7 2 3 2" xfId="8678" xr:uid="{00000000-0005-0000-0000-0000F01F0000}"/>
    <cellStyle name="Normal 4 7 2 3 2 2" xfId="8679" xr:uid="{00000000-0005-0000-0000-0000F11F0000}"/>
    <cellStyle name="Normal 4 7 2 3 2 3" xfId="8680" xr:uid="{00000000-0005-0000-0000-0000F21F0000}"/>
    <cellStyle name="Normal 4 7 2 3 3" xfId="8681" xr:uid="{00000000-0005-0000-0000-0000F31F0000}"/>
    <cellStyle name="Normal 4 7 2 3 4" xfId="8682" xr:uid="{00000000-0005-0000-0000-0000F41F0000}"/>
    <cellStyle name="Normal 4 7 2 3 5" xfId="8683" xr:uid="{00000000-0005-0000-0000-0000F51F0000}"/>
    <cellStyle name="Normal 4 7 2 4" xfId="8684" xr:uid="{00000000-0005-0000-0000-0000F61F0000}"/>
    <cellStyle name="Normal 4 7 2 4 2" xfId="8685" xr:uid="{00000000-0005-0000-0000-0000F71F0000}"/>
    <cellStyle name="Normal 4 7 2 4 2 2" xfId="8686" xr:uid="{00000000-0005-0000-0000-0000F81F0000}"/>
    <cellStyle name="Normal 4 7 2 4 2 3" xfId="8687" xr:uid="{00000000-0005-0000-0000-0000F91F0000}"/>
    <cellStyle name="Normal 4 7 2 4 3" xfId="8688" xr:uid="{00000000-0005-0000-0000-0000FA1F0000}"/>
    <cellStyle name="Normal 4 7 2 4 4" xfId="8689" xr:uid="{00000000-0005-0000-0000-0000FB1F0000}"/>
    <cellStyle name="Normal 4 7 2 4 5" xfId="8690" xr:uid="{00000000-0005-0000-0000-0000FC1F0000}"/>
    <cellStyle name="Normal 4 7 2 5" xfId="8691" xr:uid="{00000000-0005-0000-0000-0000FD1F0000}"/>
    <cellStyle name="Normal 4 7 2 5 2" xfId="8692" xr:uid="{00000000-0005-0000-0000-0000FE1F0000}"/>
    <cellStyle name="Normal 4 7 2 5 3" xfId="8693" xr:uid="{00000000-0005-0000-0000-0000FF1F0000}"/>
    <cellStyle name="Normal 4 7 2 6" xfId="8694" xr:uid="{00000000-0005-0000-0000-000000200000}"/>
    <cellStyle name="Normal 4 7 2 7" xfId="8695" xr:uid="{00000000-0005-0000-0000-000001200000}"/>
    <cellStyle name="Normal 4 7 2 8" xfId="8696" xr:uid="{00000000-0005-0000-0000-000002200000}"/>
    <cellStyle name="Normal 4 7 3" xfId="8697" xr:uid="{00000000-0005-0000-0000-000003200000}"/>
    <cellStyle name="Normal 4 7 3 2" xfId="8698" xr:uid="{00000000-0005-0000-0000-000004200000}"/>
    <cellStyle name="Normal 4 7 3 2 2" xfId="8699" xr:uid="{00000000-0005-0000-0000-000005200000}"/>
    <cellStyle name="Normal 4 7 3 2 2 2" xfId="8700" xr:uid="{00000000-0005-0000-0000-000006200000}"/>
    <cellStyle name="Normal 4 7 3 2 2 3" xfId="8701" xr:uid="{00000000-0005-0000-0000-000007200000}"/>
    <cellStyle name="Normal 4 7 3 2 3" xfId="8702" xr:uid="{00000000-0005-0000-0000-000008200000}"/>
    <cellStyle name="Normal 4 7 3 2 4" xfId="8703" xr:uid="{00000000-0005-0000-0000-000009200000}"/>
    <cellStyle name="Normal 4 7 3 2 5" xfId="8704" xr:uid="{00000000-0005-0000-0000-00000A200000}"/>
    <cellStyle name="Normal 4 7 3 3" xfId="8705" xr:uid="{00000000-0005-0000-0000-00000B200000}"/>
    <cellStyle name="Normal 4 7 3 3 2" xfId="8706" xr:uid="{00000000-0005-0000-0000-00000C200000}"/>
    <cellStyle name="Normal 4 7 3 3 2 2" xfId="8707" xr:uid="{00000000-0005-0000-0000-00000D200000}"/>
    <cellStyle name="Normal 4 7 3 3 2 3" xfId="8708" xr:uid="{00000000-0005-0000-0000-00000E200000}"/>
    <cellStyle name="Normal 4 7 3 3 3" xfId="8709" xr:uid="{00000000-0005-0000-0000-00000F200000}"/>
    <cellStyle name="Normal 4 7 3 3 4" xfId="8710" xr:uid="{00000000-0005-0000-0000-000010200000}"/>
    <cellStyle name="Normal 4 7 3 3 5" xfId="8711" xr:uid="{00000000-0005-0000-0000-000011200000}"/>
    <cellStyle name="Normal 4 7 3 4" xfId="8712" xr:uid="{00000000-0005-0000-0000-000012200000}"/>
    <cellStyle name="Normal 4 7 3 4 2" xfId="8713" xr:uid="{00000000-0005-0000-0000-000013200000}"/>
    <cellStyle name="Normal 4 7 3 4 3" xfId="8714" xr:uid="{00000000-0005-0000-0000-000014200000}"/>
    <cellStyle name="Normal 4 7 3 5" xfId="8715" xr:uid="{00000000-0005-0000-0000-000015200000}"/>
    <cellStyle name="Normal 4 7 3 6" xfId="8716" xr:uid="{00000000-0005-0000-0000-000016200000}"/>
    <cellStyle name="Normal 4 7 3 7" xfId="8717" xr:uid="{00000000-0005-0000-0000-000017200000}"/>
    <cellStyle name="Normal 4 7 4" xfId="8718" xr:uid="{00000000-0005-0000-0000-000018200000}"/>
    <cellStyle name="Normal 4 7 4 2" xfId="8719" xr:uid="{00000000-0005-0000-0000-000019200000}"/>
    <cellStyle name="Normal 4 7 4 2 2" xfId="8720" xr:uid="{00000000-0005-0000-0000-00001A200000}"/>
    <cellStyle name="Normal 4 7 4 2 3" xfId="8721" xr:uid="{00000000-0005-0000-0000-00001B200000}"/>
    <cellStyle name="Normal 4 7 4 3" xfId="8722" xr:uid="{00000000-0005-0000-0000-00001C200000}"/>
    <cellStyle name="Normal 4 7 4 4" xfId="8723" xr:uid="{00000000-0005-0000-0000-00001D200000}"/>
    <cellStyle name="Normal 4 7 4 5" xfId="8724" xr:uid="{00000000-0005-0000-0000-00001E200000}"/>
    <cellStyle name="Normal 4 7 5" xfId="8725" xr:uid="{00000000-0005-0000-0000-00001F200000}"/>
    <cellStyle name="Normal 4 7 5 2" xfId="8726" xr:uid="{00000000-0005-0000-0000-000020200000}"/>
    <cellStyle name="Normal 4 7 5 2 2" xfId="8727" xr:uid="{00000000-0005-0000-0000-000021200000}"/>
    <cellStyle name="Normal 4 7 5 2 3" xfId="8728" xr:uid="{00000000-0005-0000-0000-000022200000}"/>
    <cellStyle name="Normal 4 7 5 3" xfId="8729" xr:uid="{00000000-0005-0000-0000-000023200000}"/>
    <cellStyle name="Normal 4 7 5 4" xfId="8730" xr:uid="{00000000-0005-0000-0000-000024200000}"/>
    <cellStyle name="Normal 4 7 5 5" xfId="8731" xr:uid="{00000000-0005-0000-0000-000025200000}"/>
    <cellStyle name="Normal 4 7 6" xfId="8732" xr:uid="{00000000-0005-0000-0000-000026200000}"/>
    <cellStyle name="Normal 4 7 6 2" xfId="8733" xr:uid="{00000000-0005-0000-0000-000027200000}"/>
    <cellStyle name="Normal 4 7 6 3" xfId="8734" xr:uid="{00000000-0005-0000-0000-000028200000}"/>
    <cellStyle name="Normal 4 7 7" xfId="8735" xr:uid="{00000000-0005-0000-0000-000029200000}"/>
    <cellStyle name="Normal 4 7 8" xfId="8736" xr:uid="{00000000-0005-0000-0000-00002A200000}"/>
    <cellStyle name="Normal 4 7 9" xfId="8737" xr:uid="{00000000-0005-0000-0000-00002B200000}"/>
    <cellStyle name="Normal 4 8" xfId="8738" xr:uid="{00000000-0005-0000-0000-00002C200000}"/>
    <cellStyle name="Normal 4 8 2" xfId="8739" xr:uid="{00000000-0005-0000-0000-00002D200000}"/>
    <cellStyle name="Normal 4 8 2 2" xfId="8740" xr:uid="{00000000-0005-0000-0000-00002E200000}"/>
    <cellStyle name="Normal 4 8 2 2 2" xfId="8741" xr:uid="{00000000-0005-0000-0000-00002F200000}"/>
    <cellStyle name="Normal 4 8 2 2 2 2" xfId="8742" xr:uid="{00000000-0005-0000-0000-000030200000}"/>
    <cellStyle name="Normal 4 8 2 2 2 2 2" xfId="8743" xr:uid="{00000000-0005-0000-0000-000031200000}"/>
    <cellStyle name="Normal 4 8 2 2 2 2 3" xfId="8744" xr:uid="{00000000-0005-0000-0000-000032200000}"/>
    <cellStyle name="Normal 4 8 2 2 2 3" xfId="8745" xr:uid="{00000000-0005-0000-0000-000033200000}"/>
    <cellStyle name="Normal 4 8 2 2 2 4" xfId="8746" xr:uid="{00000000-0005-0000-0000-000034200000}"/>
    <cellStyle name="Normal 4 8 2 2 2 5" xfId="8747" xr:uid="{00000000-0005-0000-0000-000035200000}"/>
    <cellStyle name="Normal 4 8 2 2 3" xfId="8748" xr:uid="{00000000-0005-0000-0000-000036200000}"/>
    <cellStyle name="Normal 4 8 2 2 3 2" xfId="8749" xr:uid="{00000000-0005-0000-0000-000037200000}"/>
    <cellStyle name="Normal 4 8 2 2 3 2 2" xfId="8750" xr:uid="{00000000-0005-0000-0000-000038200000}"/>
    <cellStyle name="Normal 4 8 2 2 3 2 3" xfId="8751" xr:uid="{00000000-0005-0000-0000-000039200000}"/>
    <cellStyle name="Normal 4 8 2 2 3 3" xfId="8752" xr:uid="{00000000-0005-0000-0000-00003A200000}"/>
    <cellStyle name="Normal 4 8 2 2 3 4" xfId="8753" xr:uid="{00000000-0005-0000-0000-00003B200000}"/>
    <cellStyle name="Normal 4 8 2 2 3 5" xfId="8754" xr:uid="{00000000-0005-0000-0000-00003C200000}"/>
    <cellStyle name="Normal 4 8 2 2 4" xfId="8755" xr:uid="{00000000-0005-0000-0000-00003D200000}"/>
    <cellStyle name="Normal 4 8 2 2 4 2" xfId="8756" xr:uid="{00000000-0005-0000-0000-00003E200000}"/>
    <cellStyle name="Normal 4 8 2 2 4 3" xfId="8757" xr:uid="{00000000-0005-0000-0000-00003F200000}"/>
    <cellStyle name="Normal 4 8 2 2 5" xfId="8758" xr:uid="{00000000-0005-0000-0000-000040200000}"/>
    <cellStyle name="Normal 4 8 2 2 6" xfId="8759" xr:uid="{00000000-0005-0000-0000-000041200000}"/>
    <cellStyle name="Normal 4 8 2 2 7" xfId="8760" xr:uid="{00000000-0005-0000-0000-000042200000}"/>
    <cellStyle name="Normal 4 8 2 3" xfId="8761" xr:uid="{00000000-0005-0000-0000-000043200000}"/>
    <cellStyle name="Normal 4 8 2 3 2" xfId="8762" xr:uid="{00000000-0005-0000-0000-000044200000}"/>
    <cellStyle name="Normal 4 8 2 3 2 2" xfId="8763" xr:uid="{00000000-0005-0000-0000-000045200000}"/>
    <cellStyle name="Normal 4 8 2 3 2 3" xfId="8764" xr:uid="{00000000-0005-0000-0000-000046200000}"/>
    <cellStyle name="Normal 4 8 2 3 3" xfId="8765" xr:uid="{00000000-0005-0000-0000-000047200000}"/>
    <cellStyle name="Normal 4 8 2 3 4" xfId="8766" xr:uid="{00000000-0005-0000-0000-000048200000}"/>
    <cellStyle name="Normal 4 8 2 3 5" xfId="8767" xr:uid="{00000000-0005-0000-0000-000049200000}"/>
    <cellStyle name="Normal 4 8 2 4" xfId="8768" xr:uid="{00000000-0005-0000-0000-00004A200000}"/>
    <cellStyle name="Normal 4 8 2 4 2" xfId="8769" xr:uid="{00000000-0005-0000-0000-00004B200000}"/>
    <cellStyle name="Normal 4 8 2 4 2 2" xfId="8770" xr:uid="{00000000-0005-0000-0000-00004C200000}"/>
    <cellStyle name="Normal 4 8 2 4 2 3" xfId="8771" xr:uid="{00000000-0005-0000-0000-00004D200000}"/>
    <cellStyle name="Normal 4 8 2 4 3" xfId="8772" xr:uid="{00000000-0005-0000-0000-00004E200000}"/>
    <cellStyle name="Normal 4 8 2 4 4" xfId="8773" xr:uid="{00000000-0005-0000-0000-00004F200000}"/>
    <cellStyle name="Normal 4 8 2 4 5" xfId="8774" xr:uid="{00000000-0005-0000-0000-000050200000}"/>
    <cellStyle name="Normal 4 8 2 5" xfId="8775" xr:uid="{00000000-0005-0000-0000-000051200000}"/>
    <cellStyle name="Normal 4 8 2 5 2" xfId="8776" xr:uid="{00000000-0005-0000-0000-000052200000}"/>
    <cellStyle name="Normal 4 8 2 5 3" xfId="8777" xr:uid="{00000000-0005-0000-0000-000053200000}"/>
    <cellStyle name="Normal 4 8 2 6" xfId="8778" xr:uid="{00000000-0005-0000-0000-000054200000}"/>
    <cellStyle name="Normal 4 8 2 7" xfId="8779" xr:uid="{00000000-0005-0000-0000-000055200000}"/>
    <cellStyle name="Normal 4 8 2 8" xfId="8780" xr:uid="{00000000-0005-0000-0000-000056200000}"/>
    <cellStyle name="Normal 4 8 3" xfId="8781" xr:uid="{00000000-0005-0000-0000-000057200000}"/>
    <cellStyle name="Normal 4 8 3 2" xfId="8782" xr:uid="{00000000-0005-0000-0000-000058200000}"/>
    <cellStyle name="Normal 4 8 3 2 2" xfId="8783" xr:uid="{00000000-0005-0000-0000-000059200000}"/>
    <cellStyle name="Normal 4 8 3 2 2 2" xfId="8784" xr:uid="{00000000-0005-0000-0000-00005A200000}"/>
    <cellStyle name="Normal 4 8 3 2 2 3" xfId="8785" xr:uid="{00000000-0005-0000-0000-00005B200000}"/>
    <cellStyle name="Normal 4 8 3 2 3" xfId="8786" xr:uid="{00000000-0005-0000-0000-00005C200000}"/>
    <cellStyle name="Normal 4 8 3 2 4" xfId="8787" xr:uid="{00000000-0005-0000-0000-00005D200000}"/>
    <cellStyle name="Normal 4 8 3 2 5" xfId="8788" xr:uid="{00000000-0005-0000-0000-00005E200000}"/>
    <cellStyle name="Normal 4 8 3 3" xfId="8789" xr:uid="{00000000-0005-0000-0000-00005F200000}"/>
    <cellStyle name="Normal 4 8 3 3 2" xfId="8790" xr:uid="{00000000-0005-0000-0000-000060200000}"/>
    <cellStyle name="Normal 4 8 3 3 2 2" xfId="8791" xr:uid="{00000000-0005-0000-0000-000061200000}"/>
    <cellStyle name="Normal 4 8 3 3 2 3" xfId="8792" xr:uid="{00000000-0005-0000-0000-000062200000}"/>
    <cellStyle name="Normal 4 8 3 3 3" xfId="8793" xr:uid="{00000000-0005-0000-0000-000063200000}"/>
    <cellStyle name="Normal 4 8 3 3 4" xfId="8794" xr:uid="{00000000-0005-0000-0000-000064200000}"/>
    <cellStyle name="Normal 4 8 3 3 5" xfId="8795" xr:uid="{00000000-0005-0000-0000-000065200000}"/>
    <cellStyle name="Normal 4 8 3 4" xfId="8796" xr:uid="{00000000-0005-0000-0000-000066200000}"/>
    <cellStyle name="Normal 4 8 3 4 2" xfId="8797" xr:uid="{00000000-0005-0000-0000-000067200000}"/>
    <cellStyle name="Normal 4 8 3 4 3" xfId="8798" xr:uid="{00000000-0005-0000-0000-000068200000}"/>
    <cellStyle name="Normal 4 8 3 5" xfId="8799" xr:uid="{00000000-0005-0000-0000-000069200000}"/>
    <cellStyle name="Normal 4 8 3 6" xfId="8800" xr:uid="{00000000-0005-0000-0000-00006A200000}"/>
    <cellStyle name="Normal 4 8 3 7" xfId="8801" xr:uid="{00000000-0005-0000-0000-00006B200000}"/>
    <cellStyle name="Normal 4 8 4" xfId="8802" xr:uid="{00000000-0005-0000-0000-00006C200000}"/>
    <cellStyle name="Normal 4 8 4 2" xfId="8803" xr:uid="{00000000-0005-0000-0000-00006D200000}"/>
    <cellStyle name="Normal 4 8 4 2 2" xfId="8804" xr:uid="{00000000-0005-0000-0000-00006E200000}"/>
    <cellStyle name="Normal 4 8 4 2 3" xfId="8805" xr:uid="{00000000-0005-0000-0000-00006F200000}"/>
    <cellStyle name="Normal 4 8 4 3" xfId="8806" xr:uid="{00000000-0005-0000-0000-000070200000}"/>
    <cellStyle name="Normal 4 8 4 4" xfId="8807" xr:uid="{00000000-0005-0000-0000-000071200000}"/>
    <cellStyle name="Normal 4 8 4 5" xfId="8808" xr:uid="{00000000-0005-0000-0000-000072200000}"/>
    <cellStyle name="Normal 4 8 5" xfId="8809" xr:uid="{00000000-0005-0000-0000-000073200000}"/>
    <cellStyle name="Normal 4 8 5 2" xfId="8810" xr:uid="{00000000-0005-0000-0000-000074200000}"/>
    <cellStyle name="Normal 4 8 5 2 2" xfId="8811" xr:uid="{00000000-0005-0000-0000-000075200000}"/>
    <cellStyle name="Normal 4 8 5 2 3" xfId="8812" xr:uid="{00000000-0005-0000-0000-000076200000}"/>
    <cellStyle name="Normal 4 8 5 3" xfId="8813" xr:uid="{00000000-0005-0000-0000-000077200000}"/>
    <cellStyle name="Normal 4 8 5 4" xfId="8814" xr:uid="{00000000-0005-0000-0000-000078200000}"/>
    <cellStyle name="Normal 4 8 5 5" xfId="8815" xr:uid="{00000000-0005-0000-0000-000079200000}"/>
    <cellStyle name="Normal 4 8 6" xfId="8816" xr:uid="{00000000-0005-0000-0000-00007A200000}"/>
    <cellStyle name="Normal 4 8 6 2" xfId="8817" xr:uid="{00000000-0005-0000-0000-00007B200000}"/>
    <cellStyle name="Normal 4 8 6 3" xfId="8818" xr:uid="{00000000-0005-0000-0000-00007C200000}"/>
    <cellStyle name="Normal 4 8 7" xfId="8819" xr:uid="{00000000-0005-0000-0000-00007D200000}"/>
    <cellStyle name="Normal 4 8 8" xfId="8820" xr:uid="{00000000-0005-0000-0000-00007E200000}"/>
    <cellStyle name="Normal 4 8 9" xfId="8821" xr:uid="{00000000-0005-0000-0000-00007F200000}"/>
    <cellStyle name="Normal 4 9" xfId="8822" xr:uid="{00000000-0005-0000-0000-000080200000}"/>
    <cellStyle name="Normal 4 9 2" xfId="8823" xr:uid="{00000000-0005-0000-0000-000081200000}"/>
    <cellStyle name="Normal 4 9 2 2" xfId="8824" xr:uid="{00000000-0005-0000-0000-000082200000}"/>
    <cellStyle name="Normal 4 9 2 2 2" xfId="8825" xr:uid="{00000000-0005-0000-0000-000083200000}"/>
    <cellStyle name="Normal 4 9 2 2 2 2" xfId="8826" xr:uid="{00000000-0005-0000-0000-000084200000}"/>
    <cellStyle name="Normal 4 9 2 2 2 2 2" xfId="8827" xr:uid="{00000000-0005-0000-0000-000085200000}"/>
    <cellStyle name="Normal 4 9 2 2 2 2 3" xfId="8828" xr:uid="{00000000-0005-0000-0000-000086200000}"/>
    <cellStyle name="Normal 4 9 2 2 2 3" xfId="8829" xr:uid="{00000000-0005-0000-0000-000087200000}"/>
    <cellStyle name="Normal 4 9 2 2 2 4" xfId="8830" xr:uid="{00000000-0005-0000-0000-000088200000}"/>
    <cellStyle name="Normal 4 9 2 2 2 5" xfId="8831" xr:uid="{00000000-0005-0000-0000-000089200000}"/>
    <cellStyle name="Normal 4 9 2 2 3" xfId="8832" xr:uid="{00000000-0005-0000-0000-00008A200000}"/>
    <cellStyle name="Normal 4 9 2 2 3 2" xfId="8833" xr:uid="{00000000-0005-0000-0000-00008B200000}"/>
    <cellStyle name="Normal 4 9 2 2 3 2 2" xfId="8834" xr:uid="{00000000-0005-0000-0000-00008C200000}"/>
    <cellStyle name="Normal 4 9 2 2 3 2 3" xfId="8835" xr:uid="{00000000-0005-0000-0000-00008D200000}"/>
    <cellStyle name="Normal 4 9 2 2 3 3" xfId="8836" xr:uid="{00000000-0005-0000-0000-00008E200000}"/>
    <cellStyle name="Normal 4 9 2 2 3 4" xfId="8837" xr:uid="{00000000-0005-0000-0000-00008F200000}"/>
    <cellStyle name="Normal 4 9 2 2 3 5" xfId="8838" xr:uid="{00000000-0005-0000-0000-000090200000}"/>
    <cellStyle name="Normal 4 9 2 2 4" xfId="8839" xr:uid="{00000000-0005-0000-0000-000091200000}"/>
    <cellStyle name="Normal 4 9 2 2 4 2" xfId="8840" xr:uid="{00000000-0005-0000-0000-000092200000}"/>
    <cellStyle name="Normal 4 9 2 2 4 3" xfId="8841" xr:uid="{00000000-0005-0000-0000-000093200000}"/>
    <cellStyle name="Normal 4 9 2 2 5" xfId="8842" xr:uid="{00000000-0005-0000-0000-000094200000}"/>
    <cellStyle name="Normal 4 9 2 2 6" xfId="8843" xr:uid="{00000000-0005-0000-0000-000095200000}"/>
    <cellStyle name="Normal 4 9 2 2 7" xfId="8844" xr:uid="{00000000-0005-0000-0000-000096200000}"/>
    <cellStyle name="Normal 4 9 2 3" xfId="8845" xr:uid="{00000000-0005-0000-0000-000097200000}"/>
    <cellStyle name="Normal 4 9 2 3 2" xfId="8846" xr:uid="{00000000-0005-0000-0000-000098200000}"/>
    <cellStyle name="Normal 4 9 2 3 2 2" xfId="8847" xr:uid="{00000000-0005-0000-0000-000099200000}"/>
    <cellStyle name="Normal 4 9 2 3 2 3" xfId="8848" xr:uid="{00000000-0005-0000-0000-00009A200000}"/>
    <cellStyle name="Normal 4 9 2 3 3" xfId="8849" xr:uid="{00000000-0005-0000-0000-00009B200000}"/>
    <cellStyle name="Normal 4 9 2 3 4" xfId="8850" xr:uid="{00000000-0005-0000-0000-00009C200000}"/>
    <cellStyle name="Normal 4 9 2 3 5" xfId="8851" xr:uid="{00000000-0005-0000-0000-00009D200000}"/>
    <cellStyle name="Normal 4 9 2 4" xfId="8852" xr:uid="{00000000-0005-0000-0000-00009E200000}"/>
    <cellStyle name="Normal 4 9 2 4 2" xfId="8853" xr:uid="{00000000-0005-0000-0000-00009F200000}"/>
    <cellStyle name="Normal 4 9 2 4 2 2" xfId="8854" xr:uid="{00000000-0005-0000-0000-0000A0200000}"/>
    <cellStyle name="Normal 4 9 2 4 2 3" xfId="8855" xr:uid="{00000000-0005-0000-0000-0000A1200000}"/>
    <cellStyle name="Normal 4 9 2 4 3" xfId="8856" xr:uid="{00000000-0005-0000-0000-0000A2200000}"/>
    <cellStyle name="Normal 4 9 2 4 4" xfId="8857" xr:uid="{00000000-0005-0000-0000-0000A3200000}"/>
    <cellStyle name="Normal 4 9 2 4 5" xfId="8858" xr:uid="{00000000-0005-0000-0000-0000A4200000}"/>
    <cellStyle name="Normal 4 9 2 5" xfId="8859" xr:uid="{00000000-0005-0000-0000-0000A5200000}"/>
    <cellStyle name="Normal 4 9 2 5 2" xfId="8860" xr:uid="{00000000-0005-0000-0000-0000A6200000}"/>
    <cellStyle name="Normal 4 9 2 5 3" xfId="8861" xr:uid="{00000000-0005-0000-0000-0000A7200000}"/>
    <cellStyle name="Normal 4 9 2 6" xfId="8862" xr:uid="{00000000-0005-0000-0000-0000A8200000}"/>
    <cellStyle name="Normal 4 9 2 7" xfId="8863" xr:uid="{00000000-0005-0000-0000-0000A9200000}"/>
    <cellStyle name="Normal 4 9 2 8" xfId="8864" xr:uid="{00000000-0005-0000-0000-0000AA200000}"/>
    <cellStyle name="Normal 4 9 3" xfId="8865" xr:uid="{00000000-0005-0000-0000-0000AB200000}"/>
    <cellStyle name="Normal 4 9 3 2" xfId="8866" xr:uid="{00000000-0005-0000-0000-0000AC200000}"/>
    <cellStyle name="Normal 4 9 3 2 2" xfId="8867" xr:uid="{00000000-0005-0000-0000-0000AD200000}"/>
    <cellStyle name="Normal 4 9 3 2 2 2" xfId="8868" xr:uid="{00000000-0005-0000-0000-0000AE200000}"/>
    <cellStyle name="Normal 4 9 3 2 2 3" xfId="8869" xr:uid="{00000000-0005-0000-0000-0000AF200000}"/>
    <cellStyle name="Normal 4 9 3 2 3" xfId="8870" xr:uid="{00000000-0005-0000-0000-0000B0200000}"/>
    <cellStyle name="Normal 4 9 3 2 4" xfId="8871" xr:uid="{00000000-0005-0000-0000-0000B1200000}"/>
    <cellStyle name="Normal 4 9 3 2 5" xfId="8872" xr:uid="{00000000-0005-0000-0000-0000B2200000}"/>
    <cellStyle name="Normal 4 9 3 3" xfId="8873" xr:uid="{00000000-0005-0000-0000-0000B3200000}"/>
    <cellStyle name="Normal 4 9 3 3 2" xfId="8874" xr:uid="{00000000-0005-0000-0000-0000B4200000}"/>
    <cellStyle name="Normal 4 9 3 3 2 2" xfId="8875" xr:uid="{00000000-0005-0000-0000-0000B5200000}"/>
    <cellStyle name="Normal 4 9 3 3 2 3" xfId="8876" xr:uid="{00000000-0005-0000-0000-0000B6200000}"/>
    <cellStyle name="Normal 4 9 3 3 3" xfId="8877" xr:uid="{00000000-0005-0000-0000-0000B7200000}"/>
    <cellStyle name="Normal 4 9 3 3 4" xfId="8878" xr:uid="{00000000-0005-0000-0000-0000B8200000}"/>
    <cellStyle name="Normal 4 9 3 3 5" xfId="8879" xr:uid="{00000000-0005-0000-0000-0000B9200000}"/>
    <cellStyle name="Normal 4 9 3 4" xfId="8880" xr:uid="{00000000-0005-0000-0000-0000BA200000}"/>
    <cellStyle name="Normal 4 9 3 4 2" xfId="8881" xr:uid="{00000000-0005-0000-0000-0000BB200000}"/>
    <cellStyle name="Normal 4 9 3 4 3" xfId="8882" xr:uid="{00000000-0005-0000-0000-0000BC200000}"/>
    <cellStyle name="Normal 4 9 3 5" xfId="8883" xr:uid="{00000000-0005-0000-0000-0000BD200000}"/>
    <cellStyle name="Normal 4 9 3 6" xfId="8884" xr:uid="{00000000-0005-0000-0000-0000BE200000}"/>
    <cellStyle name="Normal 4 9 3 7" xfId="8885" xr:uid="{00000000-0005-0000-0000-0000BF200000}"/>
    <cellStyle name="Normal 4 9 4" xfId="8886" xr:uid="{00000000-0005-0000-0000-0000C0200000}"/>
    <cellStyle name="Normal 4 9 4 2" xfId="8887" xr:uid="{00000000-0005-0000-0000-0000C1200000}"/>
    <cellStyle name="Normal 4 9 4 2 2" xfId="8888" xr:uid="{00000000-0005-0000-0000-0000C2200000}"/>
    <cellStyle name="Normal 4 9 4 2 3" xfId="8889" xr:uid="{00000000-0005-0000-0000-0000C3200000}"/>
    <cellStyle name="Normal 4 9 4 3" xfId="8890" xr:uid="{00000000-0005-0000-0000-0000C4200000}"/>
    <cellStyle name="Normal 4 9 4 4" xfId="8891" xr:uid="{00000000-0005-0000-0000-0000C5200000}"/>
    <cellStyle name="Normal 4 9 4 5" xfId="8892" xr:uid="{00000000-0005-0000-0000-0000C6200000}"/>
    <cellStyle name="Normal 4 9 5" xfId="8893" xr:uid="{00000000-0005-0000-0000-0000C7200000}"/>
    <cellStyle name="Normal 4 9 5 2" xfId="8894" xr:uid="{00000000-0005-0000-0000-0000C8200000}"/>
    <cellStyle name="Normal 4 9 5 2 2" xfId="8895" xr:uid="{00000000-0005-0000-0000-0000C9200000}"/>
    <cellStyle name="Normal 4 9 5 2 3" xfId="8896" xr:uid="{00000000-0005-0000-0000-0000CA200000}"/>
    <cellStyle name="Normal 4 9 5 3" xfId="8897" xr:uid="{00000000-0005-0000-0000-0000CB200000}"/>
    <cellStyle name="Normal 4 9 5 4" xfId="8898" xr:uid="{00000000-0005-0000-0000-0000CC200000}"/>
    <cellStyle name="Normal 4 9 5 5" xfId="8899" xr:uid="{00000000-0005-0000-0000-0000CD200000}"/>
    <cellStyle name="Normal 4 9 6" xfId="8900" xr:uid="{00000000-0005-0000-0000-0000CE200000}"/>
    <cellStyle name="Normal 4 9 6 2" xfId="8901" xr:uid="{00000000-0005-0000-0000-0000CF200000}"/>
    <cellStyle name="Normal 4 9 6 3" xfId="8902" xr:uid="{00000000-0005-0000-0000-0000D0200000}"/>
    <cellStyle name="Normal 4 9 7" xfId="8903" xr:uid="{00000000-0005-0000-0000-0000D1200000}"/>
    <cellStyle name="Normal 4 9 8" xfId="8904" xr:uid="{00000000-0005-0000-0000-0000D2200000}"/>
    <cellStyle name="Normal 4 9 9" xfId="8905" xr:uid="{00000000-0005-0000-0000-0000D3200000}"/>
    <cellStyle name="Normal 4_Attach O, GG, Support -New Method 2-14-11" xfId="734" xr:uid="{00000000-0005-0000-0000-0000D4200000}"/>
    <cellStyle name="Normal 40" xfId="30" xr:uid="{00000000-0005-0000-0000-0000D5200000}"/>
    <cellStyle name="Normal 41" xfId="422" xr:uid="{00000000-0005-0000-0000-0000D6200000}"/>
    <cellStyle name="Normal 42" xfId="424" xr:uid="{00000000-0005-0000-0000-0000D7200000}"/>
    <cellStyle name="Normal 43" xfId="423" xr:uid="{00000000-0005-0000-0000-0000D8200000}"/>
    <cellStyle name="Normal 44" xfId="430" xr:uid="{00000000-0005-0000-0000-0000D9200000}"/>
    <cellStyle name="Normal 45" xfId="437" xr:uid="{00000000-0005-0000-0000-0000DA200000}"/>
    <cellStyle name="Normal 46" xfId="498" xr:uid="{00000000-0005-0000-0000-0000DB200000}"/>
    <cellStyle name="Normal 47" xfId="525" xr:uid="{00000000-0005-0000-0000-0000DC200000}"/>
    <cellStyle name="Normal 48" xfId="560" xr:uid="{00000000-0005-0000-0000-0000DD200000}"/>
    <cellStyle name="Normal 49" xfId="563" xr:uid="{00000000-0005-0000-0000-0000DE200000}"/>
    <cellStyle name="Normal 5" xfId="41" xr:uid="{00000000-0005-0000-0000-0000DF200000}"/>
    <cellStyle name="Normal 5 10" xfId="8906" xr:uid="{00000000-0005-0000-0000-0000E0200000}"/>
    <cellStyle name="Normal 5 10 2" xfId="8907" xr:uid="{00000000-0005-0000-0000-0000E1200000}"/>
    <cellStyle name="Normal 5 10 2 2" xfId="8908" xr:uid="{00000000-0005-0000-0000-0000E2200000}"/>
    <cellStyle name="Normal 5 10 2 3" xfId="8909" xr:uid="{00000000-0005-0000-0000-0000E3200000}"/>
    <cellStyle name="Normal 5 10 3" xfId="8910" xr:uid="{00000000-0005-0000-0000-0000E4200000}"/>
    <cellStyle name="Normal 5 10 4" xfId="8911" xr:uid="{00000000-0005-0000-0000-0000E5200000}"/>
    <cellStyle name="Normal 5 10 5" xfId="8912" xr:uid="{00000000-0005-0000-0000-0000E6200000}"/>
    <cellStyle name="Normal 5 11" xfId="8913" xr:uid="{00000000-0005-0000-0000-0000E7200000}"/>
    <cellStyle name="Normal 5 2" xfId="342" xr:uid="{00000000-0005-0000-0000-0000E8200000}"/>
    <cellStyle name="Normal 5 2 2" xfId="8914" xr:uid="{00000000-0005-0000-0000-0000E9200000}"/>
    <cellStyle name="Normal 5 2 2 2" xfId="8915" xr:uid="{00000000-0005-0000-0000-0000EA200000}"/>
    <cellStyle name="Normal 5 2 2 2 2" xfId="8916" xr:uid="{00000000-0005-0000-0000-0000EB200000}"/>
    <cellStyle name="Normal 5 2 2 2 2 2" xfId="8917" xr:uid="{00000000-0005-0000-0000-0000EC200000}"/>
    <cellStyle name="Normal 5 2 2 2 2 2 2" xfId="8918" xr:uid="{00000000-0005-0000-0000-0000ED200000}"/>
    <cellStyle name="Normal 5 2 2 2 2 2 2 2" xfId="8919" xr:uid="{00000000-0005-0000-0000-0000EE200000}"/>
    <cellStyle name="Normal 5 2 2 2 2 2 2 3" xfId="8920" xr:uid="{00000000-0005-0000-0000-0000EF200000}"/>
    <cellStyle name="Normal 5 2 2 2 2 2 3" xfId="8921" xr:uid="{00000000-0005-0000-0000-0000F0200000}"/>
    <cellStyle name="Normal 5 2 2 2 2 2 4" xfId="8922" xr:uid="{00000000-0005-0000-0000-0000F1200000}"/>
    <cellStyle name="Normal 5 2 2 2 2 2 5" xfId="8923" xr:uid="{00000000-0005-0000-0000-0000F2200000}"/>
    <cellStyle name="Normal 5 2 2 2 2 3" xfId="8924" xr:uid="{00000000-0005-0000-0000-0000F3200000}"/>
    <cellStyle name="Normal 5 2 2 2 2 3 2" xfId="8925" xr:uid="{00000000-0005-0000-0000-0000F4200000}"/>
    <cellStyle name="Normal 5 2 2 2 2 3 2 2" xfId="8926" xr:uid="{00000000-0005-0000-0000-0000F5200000}"/>
    <cellStyle name="Normal 5 2 2 2 2 3 2 3" xfId="8927" xr:uid="{00000000-0005-0000-0000-0000F6200000}"/>
    <cellStyle name="Normal 5 2 2 2 2 3 3" xfId="8928" xr:uid="{00000000-0005-0000-0000-0000F7200000}"/>
    <cellStyle name="Normal 5 2 2 2 2 3 4" xfId="8929" xr:uid="{00000000-0005-0000-0000-0000F8200000}"/>
    <cellStyle name="Normal 5 2 2 2 2 3 5" xfId="8930" xr:uid="{00000000-0005-0000-0000-0000F9200000}"/>
    <cellStyle name="Normal 5 2 2 2 2 4" xfId="8931" xr:uid="{00000000-0005-0000-0000-0000FA200000}"/>
    <cellStyle name="Normal 5 2 2 2 2 4 2" xfId="8932" xr:uid="{00000000-0005-0000-0000-0000FB200000}"/>
    <cellStyle name="Normal 5 2 2 2 2 4 3" xfId="8933" xr:uid="{00000000-0005-0000-0000-0000FC200000}"/>
    <cellStyle name="Normal 5 2 2 2 2 5" xfId="8934" xr:uid="{00000000-0005-0000-0000-0000FD200000}"/>
    <cellStyle name="Normal 5 2 2 2 2 6" xfId="8935" xr:uid="{00000000-0005-0000-0000-0000FE200000}"/>
    <cellStyle name="Normal 5 2 2 2 2 7" xfId="8936" xr:uid="{00000000-0005-0000-0000-0000FF200000}"/>
    <cellStyle name="Normal 5 2 2 2 3" xfId="8937" xr:uid="{00000000-0005-0000-0000-000000210000}"/>
    <cellStyle name="Normal 5 2 2 2 3 2" xfId="8938" xr:uid="{00000000-0005-0000-0000-000001210000}"/>
    <cellStyle name="Normal 5 2 2 2 3 2 2" xfId="8939" xr:uid="{00000000-0005-0000-0000-000002210000}"/>
    <cellStyle name="Normal 5 2 2 2 3 2 3" xfId="8940" xr:uid="{00000000-0005-0000-0000-000003210000}"/>
    <cellStyle name="Normal 5 2 2 2 3 3" xfId="8941" xr:uid="{00000000-0005-0000-0000-000004210000}"/>
    <cellStyle name="Normal 5 2 2 2 3 4" xfId="8942" xr:uid="{00000000-0005-0000-0000-000005210000}"/>
    <cellStyle name="Normal 5 2 2 2 3 5" xfId="8943" xr:uid="{00000000-0005-0000-0000-000006210000}"/>
    <cellStyle name="Normal 5 2 2 2 4" xfId="8944" xr:uid="{00000000-0005-0000-0000-000007210000}"/>
    <cellStyle name="Normal 5 2 2 2 4 2" xfId="8945" xr:uid="{00000000-0005-0000-0000-000008210000}"/>
    <cellStyle name="Normal 5 2 2 2 4 2 2" xfId="8946" xr:uid="{00000000-0005-0000-0000-000009210000}"/>
    <cellStyle name="Normal 5 2 2 2 4 2 3" xfId="8947" xr:uid="{00000000-0005-0000-0000-00000A210000}"/>
    <cellStyle name="Normal 5 2 2 2 4 3" xfId="8948" xr:uid="{00000000-0005-0000-0000-00000B210000}"/>
    <cellStyle name="Normal 5 2 2 2 4 4" xfId="8949" xr:uid="{00000000-0005-0000-0000-00000C210000}"/>
    <cellStyle name="Normal 5 2 2 2 4 5" xfId="8950" xr:uid="{00000000-0005-0000-0000-00000D210000}"/>
    <cellStyle name="Normal 5 2 2 2 5" xfId="8951" xr:uid="{00000000-0005-0000-0000-00000E210000}"/>
    <cellStyle name="Normal 5 2 2 2 5 2" xfId="8952" xr:uid="{00000000-0005-0000-0000-00000F210000}"/>
    <cellStyle name="Normal 5 2 2 2 5 3" xfId="8953" xr:uid="{00000000-0005-0000-0000-000010210000}"/>
    <cellStyle name="Normal 5 2 2 2 6" xfId="8954" xr:uid="{00000000-0005-0000-0000-000011210000}"/>
    <cellStyle name="Normal 5 2 2 2 7" xfId="8955" xr:uid="{00000000-0005-0000-0000-000012210000}"/>
    <cellStyle name="Normal 5 2 2 2 8" xfId="8956" xr:uid="{00000000-0005-0000-0000-000013210000}"/>
    <cellStyle name="Normal 5 2 2 3" xfId="8957" xr:uid="{00000000-0005-0000-0000-000014210000}"/>
    <cellStyle name="Normal 5 2 2 3 2" xfId="8958" xr:uid="{00000000-0005-0000-0000-000015210000}"/>
    <cellStyle name="Normal 5 2 2 3 2 2" xfId="8959" xr:uid="{00000000-0005-0000-0000-000016210000}"/>
    <cellStyle name="Normal 5 2 2 3 2 2 2" xfId="8960" xr:uid="{00000000-0005-0000-0000-000017210000}"/>
    <cellStyle name="Normal 5 2 2 3 2 2 3" xfId="8961" xr:uid="{00000000-0005-0000-0000-000018210000}"/>
    <cellStyle name="Normal 5 2 2 3 2 3" xfId="8962" xr:uid="{00000000-0005-0000-0000-000019210000}"/>
    <cellStyle name="Normal 5 2 2 3 2 4" xfId="8963" xr:uid="{00000000-0005-0000-0000-00001A210000}"/>
    <cellStyle name="Normal 5 2 2 3 2 5" xfId="8964" xr:uid="{00000000-0005-0000-0000-00001B210000}"/>
    <cellStyle name="Normal 5 2 2 3 3" xfId="8965" xr:uid="{00000000-0005-0000-0000-00001C210000}"/>
    <cellStyle name="Normal 5 2 2 3 3 2" xfId="8966" xr:uid="{00000000-0005-0000-0000-00001D210000}"/>
    <cellStyle name="Normal 5 2 2 3 3 2 2" xfId="8967" xr:uid="{00000000-0005-0000-0000-00001E210000}"/>
    <cellStyle name="Normal 5 2 2 3 3 2 3" xfId="8968" xr:uid="{00000000-0005-0000-0000-00001F210000}"/>
    <cellStyle name="Normal 5 2 2 3 3 3" xfId="8969" xr:uid="{00000000-0005-0000-0000-000020210000}"/>
    <cellStyle name="Normal 5 2 2 3 3 4" xfId="8970" xr:uid="{00000000-0005-0000-0000-000021210000}"/>
    <cellStyle name="Normal 5 2 2 3 3 5" xfId="8971" xr:uid="{00000000-0005-0000-0000-000022210000}"/>
    <cellStyle name="Normal 5 2 2 3 4" xfId="8972" xr:uid="{00000000-0005-0000-0000-000023210000}"/>
    <cellStyle name="Normal 5 2 2 3 4 2" xfId="8973" xr:uid="{00000000-0005-0000-0000-000024210000}"/>
    <cellStyle name="Normal 5 2 2 3 4 3" xfId="8974" xr:uid="{00000000-0005-0000-0000-000025210000}"/>
    <cellStyle name="Normal 5 2 2 3 5" xfId="8975" xr:uid="{00000000-0005-0000-0000-000026210000}"/>
    <cellStyle name="Normal 5 2 2 3 6" xfId="8976" xr:uid="{00000000-0005-0000-0000-000027210000}"/>
    <cellStyle name="Normal 5 2 2 3 7" xfId="8977" xr:uid="{00000000-0005-0000-0000-000028210000}"/>
    <cellStyle name="Normal 5 2 2 4" xfId="8978" xr:uid="{00000000-0005-0000-0000-000029210000}"/>
    <cellStyle name="Normal 5 2 2 4 2" xfId="8979" xr:uid="{00000000-0005-0000-0000-00002A210000}"/>
    <cellStyle name="Normal 5 2 2 4 2 2" xfId="8980" xr:uid="{00000000-0005-0000-0000-00002B210000}"/>
    <cellStyle name="Normal 5 2 2 4 2 3" xfId="8981" xr:uid="{00000000-0005-0000-0000-00002C210000}"/>
    <cellStyle name="Normal 5 2 2 4 3" xfId="8982" xr:uid="{00000000-0005-0000-0000-00002D210000}"/>
    <cellStyle name="Normal 5 2 2 4 4" xfId="8983" xr:uid="{00000000-0005-0000-0000-00002E210000}"/>
    <cellStyle name="Normal 5 2 2 4 5" xfId="8984" xr:uid="{00000000-0005-0000-0000-00002F210000}"/>
    <cellStyle name="Normal 5 2 2 5" xfId="8985" xr:uid="{00000000-0005-0000-0000-000030210000}"/>
    <cellStyle name="Normal 5 2 2 5 2" xfId="8986" xr:uid="{00000000-0005-0000-0000-000031210000}"/>
    <cellStyle name="Normal 5 2 2 5 2 2" xfId="8987" xr:uid="{00000000-0005-0000-0000-000032210000}"/>
    <cellStyle name="Normal 5 2 2 5 2 3" xfId="8988" xr:uid="{00000000-0005-0000-0000-000033210000}"/>
    <cellStyle name="Normal 5 2 2 5 3" xfId="8989" xr:uid="{00000000-0005-0000-0000-000034210000}"/>
    <cellStyle name="Normal 5 2 2 5 4" xfId="8990" xr:uid="{00000000-0005-0000-0000-000035210000}"/>
    <cellStyle name="Normal 5 2 2 5 5" xfId="8991" xr:uid="{00000000-0005-0000-0000-000036210000}"/>
    <cellStyle name="Normal 5 2 2 6" xfId="8992" xr:uid="{00000000-0005-0000-0000-000037210000}"/>
    <cellStyle name="Normal 5 2 2 6 2" xfId="8993" xr:uid="{00000000-0005-0000-0000-000038210000}"/>
    <cellStyle name="Normal 5 2 2 6 3" xfId="8994" xr:uid="{00000000-0005-0000-0000-000039210000}"/>
    <cellStyle name="Normal 5 2 2 7" xfId="8995" xr:uid="{00000000-0005-0000-0000-00003A210000}"/>
    <cellStyle name="Normal 5 2 2 8" xfId="8996" xr:uid="{00000000-0005-0000-0000-00003B210000}"/>
    <cellStyle name="Normal 5 2 2 9" xfId="8997" xr:uid="{00000000-0005-0000-0000-00003C210000}"/>
    <cellStyle name="Normal 5 2 3" xfId="8998" xr:uid="{00000000-0005-0000-0000-00003D210000}"/>
    <cellStyle name="Normal 5 2 3 2" xfId="8999" xr:uid="{00000000-0005-0000-0000-00003E210000}"/>
    <cellStyle name="Normal 5 2 3 2 2" xfId="9000" xr:uid="{00000000-0005-0000-0000-00003F210000}"/>
    <cellStyle name="Normal 5 2 3 2 2 2" xfId="9001" xr:uid="{00000000-0005-0000-0000-000040210000}"/>
    <cellStyle name="Normal 5 2 3 2 2 2 2" xfId="9002" xr:uid="{00000000-0005-0000-0000-000041210000}"/>
    <cellStyle name="Normal 5 2 3 2 2 2 2 2" xfId="9003" xr:uid="{00000000-0005-0000-0000-000042210000}"/>
    <cellStyle name="Normal 5 2 3 2 2 2 2 3" xfId="9004" xr:uid="{00000000-0005-0000-0000-000043210000}"/>
    <cellStyle name="Normal 5 2 3 2 2 2 3" xfId="9005" xr:uid="{00000000-0005-0000-0000-000044210000}"/>
    <cellStyle name="Normal 5 2 3 2 2 2 4" xfId="9006" xr:uid="{00000000-0005-0000-0000-000045210000}"/>
    <cellStyle name="Normal 5 2 3 2 2 2 5" xfId="9007" xr:uid="{00000000-0005-0000-0000-000046210000}"/>
    <cellStyle name="Normal 5 2 3 2 2 3" xfId="9008" xr:uid="{00000000-0005-0000-0000-000047210000}"/>
    <cellStyle name="Normal 5 2 3 2 2 3 2" xfId="9009" xr:uid="{00000000-0005-0000-0000-000048210000}"/>
    <cellStyle name="Normal 5 2 3 2 2 3 2 2" xfId="9010" xr:uid="{00000000-0005-0000-0000-000049210000}"/>
    <cellStyle name="Normal 5 2 3 2 2 3 2 3" xfId="9011" xr:uid="{00000000-0005-0000-0000-00004A210000}"/>
    <cellStyle name="Normal 5 2 3 2 2 3 3" xfId="9012" xr:uid="{00000000-0005-0000-0000-00004B210000}"/>
    <cellStyle name="Normal 5 2 3 2 2 3 4" xfId="9013" xr:uid="{00000000-0005-0000-0000-00004C210000}"/>
    <cellStyle name="Normal 5 2 3 2 2 3 5" xfId="9014" xr:uid="{00000000-0005-0000-0000-00004D210000}"/>
    <cellStyle name="Normal 5 2 3 2 2 4" xfId="9015" xr:uid="{00000000-0005-0000-0000-00004E210000}"/>
    <cellStyle name="Normal 5 2 3 2 2 4 2" xfId="9016" xr:uid="{00000000-0005-0000-0000-00004F210000}"/>
    <cellStyle name="Normal 5 2 3 2 2 4 3" xfId="9017" xr:uid="{00000000-0005-0000-0000-000050210000}"/>
    <cellStyle name="Normal 5 2 3 2 2 5" xfId="9018" xr:uid="{00000000-0005-0000-0000-000051210000}"/>
    <cellStyle name="Normal 5 2 3 2 2 6" xfId="9019" xr:uid="{00000000-0005-0000-0000-000052210000}"/>
    <cellStyle name="Normal 5 2 3 2 2 7" xfId="9020" xr:uid="{00000000-0005-0000-0000-000053210000}"/>
    <cellStyle name="Normal 5 2 3 2 3" xfId="9021" xr:uid="{00000000-0005-0000-0000-000054210000}"/>
    <cellStyle name="Normal 5 2 3 2 3 2" xfId="9022" xr:uid="{00000000-0005-0000-0000-000055210000}"/>
    <cellStyle name="Normal 5 2 3 2 3 2 2" xfId="9023" xr:uid="{00000000-0005-0000-0000-000056210000}"/>
    <cellStyle name="Normal 5 2 3 2 3 2 3" xfId="9024" xr:uid="{00000000-0005-0000-0000-000057210000}"/>
    <cellStyle name="Normal 5 2 3 2 3 3" xfId="9025" xr:uid="{00000000-0005-0000-0000-000058210000}"/>
    <cellStyle name="Normal 5 2 3 2 3 4" xfId="9026" xr:uid="{00000000-0005-0000-0000-000059210000}"/>
    <cellStyle name="Normal 5 2 3 2 3 5" xfId="9027" xr:uid="{00000000-0005-0000-0000-00005A210000}"/>
    <cellStyle name="Normal 5 2 3 2 4" xfId="9028" xr:uid="{00000000-0005-0000-0000-00005B210000}"/>
    <cellStyle name="Normal 5 2 3 2 4 2" xfId="9029" xr:uid="{00000000-0005-0000-0000-00005C210000}"/>
    <cellStyle name="Normal 5 2 3 2 4 2 2" xfId="9030" xr:uid="{00000000-0005-0000-0000-00005D210000}"/>
    <cellStyle name="Normal 5 2 3 2 4 2 3" xfId="9031" xr:uid="{00000000-0005-0000-0000-00005E210000}"/>
    <cellStyle name="Normal 5 2 3 2 4 3" xfId="9032" xr:uid="{00000000-0005-0000-0000-00005F210000}"/>
    <cellStyle name="Normal 5 2 3 2 4 4" xfId="9033" xr:uid="{00000000-0005-0000-0000-000060210000}"/>
    <cellStyle name="Normal 5 2 3 2 4 5" xfId="9034" xr:uid="{00000000-0005-0000-0000-000061210000}"/>
    <cellStyle name="Normal 5 2 3 2 5" xfId="9035" xr:uid="{00000000-0005-0000-0000-000062210000}"/>
    <cellStyle name="Normal 5 2 3 2 5 2" xfId="9036" xr:uid="{00000000-0005-0000-0000-000063210000}"/>
    <cellStyle name="Normal 5 2 3 2 5 3" xfId="9037" xr:uid="{00000000-0005-0000-0000-000064210000}"/>
    <cellStyle name="Normal 5 2 3 2 6" xfId="9038" xr:uid="{00000000-0005-0000-0000-000065210000}"/>
    <cellStyle name="Normal 5 2 3 2 7" xfId="9039" xr:uid="{00000000-0005-0000-0000-000066210000}"/>
    <cellStyle name="Normal 5 2 3 2 8" xfId="9040" xr:uid="{00000000-0005-0000-0000-000067210000}"/>
    <cellStyle name="Normal 5 2 3 3" xfId="9041" xr:uid="{00000000-0005-0000-0000-000068210000}"/>
    <cellStyle name="Normal 5 2 3 3 2" xfId="9042" xr:uid="{00000000-0005-0000-0000-000069210000}"/>
    <cellStyle name="Normal 5 2 3 3 2 2" xfId="9043" xr:uid="{00000000-0005-0000-0000-00006A210000}"/>
    <cellStyle name="Normal 5 2 3 3 2 2 2" xfId="9044" xr:uid="{00000000-0005-0000-0000-00006B210000}"/>
    <cellStyle name="Normal 5 2 3 3 2 2 3" xfId="9045" xr:uid="{00000000-0005-0000-0000-00006C210000}"/>
    <cellStyle name="Normal 5 2 3 3 2 3" xfId="9046" xr:uid="{00000000-0005-0000-0000-00006D210000}"/>
    <cellStyle name="Normal 5 2 3 3 2 4" xfId="9047" xr:uid="{00000000-0005-0000-0000-00006E210000}"/>
    <cellStyle name="Normal 5 2 3 3 2 5" xfId="9048" xr:uid="{00000000-0005-0000-0000-00006F210000}"/>
    <cellStyle name="Normal 5 2 3 3 3" xfId="9049" xr:uid="{00000000-0005-0000-0000-000070210000}"/>
    <cellStyle name="Normal 5 2 3 3 3 2" xfId="9050" xr:uid="{00000000-0005-0000-0000-000071210000}"/>
    <cellStyle name="Normal 5 2 3 3 3 2 2" xfId="9051" xr:uid="{00000000-0005-0000-0000-000072210000}"/>
    <cellStyle name="Normal 5 2 3 3 3 2 3" xfId="9052" xr:uid="{00000000-0005-0000-0000-000073210000}"/>
    <cellStyle name="Normal 5 2 3 3 3 3" xfId="9053" xr:uid="{00000000-0005-0000-0000-000074210000}"/>
    <cellStyle name="Normal 5 2 3 3 3 4" xfId="9054" xr:uid="{00000000-0005-0000-0000-000075210000}"/>
    <cellStyle name="Normal 5 2 3 3 3 5" xfId="9055" xr:uid="{00000000-0005-0000-0000-000076210000}"/>
    <cellStyle name="Normal 5 2 3 3 4" xfId="9056" xr:uid="{00000000-0005-0000-0000-000077210000}"/>
    <cellStyle name="Normal 5 2 3 3 4 2" xfId="9057" xr:uid="{00000000-0005-0000-0000-000078210000}"/>
    <cellStyle name="Normal 5 2 3 3 4 3" xfId="9058" xr:uid="{00000000-0005-0000-0000-000079210000}"/>
    <cellStyle name="Normal 5 2 3 3 5" xfId="9059" xr:uid="{00000000-0005-0000-0000-00007A210000}"/>
    <cellStyle name="Normal 5 2 3 3 6" xfId="9060" xr:uid="{00000000-0005-0000-0000-00007B210000}"/>
    <cellStyle name="Normal 5 2 3 3 7" xfId="9061" xr:uid="{00000000-0005-0000-0000-00007C210000}"/>
    <cellStyle name="Normal 5 2 3 4" xfId="9062" xr:uid="{00000000-0005-0000-0000-00007D210000}"/>
    <cellStyle name="Normal 5 2 3 4 2" xfId="9063" xr:uid="{00000000-0005-0000-0000-00007E210000}"/>
    <cellStyle name="Normal 5 2 3 4 2 2" xfId="9064" xr:uid="{00000000-0005-0000-0000-00007F210000}"/>
    <cellStyle name="Normal 5 2 3 4 2 3" xfId="9065" xr:uid="{00000000-0005-0000-0000-000080210000}"/>
    <cellStyle name="Normal 5 2 3 4 3" xfId="9066" xr:uid="{00000000-0005-0000-0000-000081210000}"/>
    <cellStyle name="Normal 5 2 3 4 4" xfId="9067" xr:uid="{00000000-0005-0000-0000-000082210000}"/>
    <cellStyle name="Normal 5 2 3 4 5" xfId="9068" xr:uid="{00000000-0005-0000-0000-000083210000}"/>
    <cellStyle name="Normal 5 2 3 5" xfId="9069" xr:uid="{00000000-0005-0000-0000-000084210000}"/>
    <cellStyle name="Normal 5 2 3 5 2" xfId="9070" xr:uid="{00000000-0005-0000-0000-000085210000}"/>
    <cellStyle name="Normal 5 2 3 5 2 2" xfId="9071" xr:uid="{00000000-0005-0000-0000-000086210000}"/>
    <cellStyle name="Normal 5 2 3 5 2 3" xfId="9072" xr:uid="{00000000-0005-0000-0000-000087210000}"/>
    <cellStyle name="Normal 5 2 3 5 3" xfId="9073" xr:uid="{00000000-0005-0000-0000-000088210000}"/>
    <cellStyle name="Normal 5 2 3 5 4" xfId="9074" xr:uid="{00000000-0005-0000-0000-000089210000}"/>
    <cellStyle name="Normal 5 2 3 5 5" xfId="9075" xr:uid="{00000000-0005-0000-0000-00008A210000}"/>
    <cellStyle name="Normal 5 2 3 6" xfId="9076" xr:uid="{00000000-0005-0000-0000-00008B210000}"/>
    <cellStyle name="Normal 5 2 3 6 2" xfId="9077" xr:uid="{00000000-0005-0000-0000-00008C210000}"/>
    <cellStyle name="Normal 5 2 3 6 3" xfId="9078" xr:uid="{00000000-0005-0000-0000-00008D210000}"/>
    <cellStyle name="Normal 5 2 3 7" xfId="9079" xr:uid="{00000000-0005-0000-0000-00008E210000}"/>
    <cellStyle name="Normal 5 2 3 8" xfId="9080" xr:uid="{00000000-0005-0000-0000-00008F210000}"/>
    <cellStyle name="Normal 5 2 3 9" xfId="9081" xr:uid="{00000000-0005-0000-0000-000090210000}"/>
    <cellStyle name="Normal 5 2 4" xfId="9082" xr:uid="{00000000-0005-0000-0000-000091210000}"/>
    <cellStyle name="Normal 5 2 4 2" xfId="9083" xr:uid="{00000000-0005-0000-0000-000092210000}"/>
    <cellStyle name="Normal 5 2 4 2 2" xfId="9084" xr:uid="{00000000-0005-0000-0000-000093210000}"/>
    <cellStyle name="Normal 5 2 4 2 2 2" xfId="9085" xr:uid="{00000000-0005-0000-0000-000094210000}"/>
    <cellStyle name="Normal 5 2 4 2 2 2 2" xfId="9086" xr:uid="{00000000-0005-0000-0000-000095210000}"/>
    <cellStyle name="Normal 5 2 4 2 2 2 2 2" xfId="9087" xr:uid="{00000000-0005-0000-0000-000096210000}"/>
    <cellStyle name="Normal 5 2 4 2 2 2 2 3" xfId="9088" xr:uid="{00000000-0005-0000-0000-000097210000}"/>
    <cellStyle name="Normal 5 2 4 2 2 2 3" xfId="9089" xr:uid="{00000000-0005-0000-0000-000098210000}"/>
    <cellStyle name="Normal 5 2 4 2 2 2 4" xfId="9090" xr:uid="{00000000-0005-0000-0000-000099210000}"/>
    <cellStyle name="Normal 5 2 4 2 2 2 5" xfId="9091" xr:uid="{00000000-0005-0000-0000-00009A210000}"/>
    <cellStyle name="Normal 5 2 4 2 2 3" xfId="9092" xr:uid="{00000000-0005-0000-0000-00009B210000}"/>
    <cellStyle name="Normal 5 2 4 2 2 3 2" xfId="9093" xr:uid="{00000000-0005-0000-0000-00009C210000}"/>
    <cellStyle name="Normal 5 2 4 2 2 3 2 2" xfId="9094" xr:uid="{00000000-0005-0000-0000-00009D210000}"/>
    <cellStyle name="Normal 5 2 4 2 2 3 2 3" xfId="9095" xr:uid="{00000000-0005-0000-0000-00009E210000}"/>
    <cellStyle name="Normal 5 2 4 2 2 3 3" xfId="9096" xr:uid="{00000000-0005-0000-0000-00009F210000}"/>
    <cellStyle name="Normal 5 2 4 2 2 3 4" xfId="9097" xr:uid="{00000000-0005-0000-0000-0000A0210000}"/>
    <cellStyle name="Normal 5 2 4 2 2 3 5" xfId="9098" xr:uid="{00000000-0005-0000-0000-0000A1210000}"/>
    <cellStyle name="Normal 5 2 4 2 2 4" xfId="9099" xr:uid="{00000000-0005-0000-0000-0000A2210000}"/>
    <cellStyle name="Normal 5 2 4 2 2 4 2" xfId="9100" xr:uid="{00000000-0005-0000-0000-0000A3210000}"/>
    <cellStyle name="Normal 5 2 4 2 2 4 3" xfId="9101" xr:uid="{00000000-0005-0000-0000-0000A4210000}"/>
    <cellStyle name="Normal 5 2 4 2 2 5" xfId="9102" xr:uid="{00000000-0005-0000-0000-0000A5210000}"/>
    <cellStyle name="Normal 5 2 4 2 2 6" xfId="9103" xr:uid="{00000000-0005-0000-0000-0000A6210000}"/>
    <cellStyle name="Normal 5 2 4 2 2 7" xfId="9104" xr:uid="{00000000-0005-0000-0000-0000A7210000}"/>
    <cellStyle name="Normal 5 2 4 2 3" xfId="9105" xr:uid="{00000000-0005-0000-0000-0000A8210000}"/>
    <cellStyle name="Normal 5 2 4 2 3 2" xfId="9106" xr:uid="{00000000-0005-0000-0000-0000A9210000}"/>
    <cellStyle name="Normal 5 2 4 2 3 2 2" xfId="9107" xr:uid="{00000000-0005-0000-0000-0000AA210000}"/>
    <cellStyle name="Normal 5 2 4 2 3 2 3" xfId="9108" xr:uid="{00000000-0005-0000-0000-0000AB210000}"/>
    <cellStyle name="Normal 5 2 4 2 3 3" xfId="9109" xr:uid="{00000000-0005-0000-0000-0000AC210000}"/>
    <cellStyle name="Normal 5 2 4 2 3 4" xfId="9110" xr:uid="{00000000-0005-0000-0000-0000AD210000}"/>
    <cellStyle name="Normal 5 2 4 2 3 5" xfId="9111" xr:uid="{00000000-0005-0000-0000-0000AE210000}"/>
    <cellStyle name="Normal 5 2 4 2 4" xfId="9112" xr:uid="{00000000-0005-0000-0000-0000AF210000}"/>
    <cellStyle name="Normal 5 2 4 2 4 2" xfId="9113" xr:uid="{00000000-0005-0000-0000-0000B0210000}"/>
    <cellStyle name="Normal 5 2 4 2 4 2 2" xfId="9114" xr:uid="{00000000-0005-0000-0000-0000B1210000}"/>
    <cellStyle name="Normal 5 2 4 2 4 2 3" xfId="9115" xr:uid="{00000000-0005-0000-0000-0000B2210000}"/>
    <cellStyle name="Normal 5 2 4 2 4 3" xfId="9116" xr:uid="{00000000-0005-0000-0000-0000B3210000}"/>
    <cellStyle name="Normal 5 2 4 2 4 4" xfId="9117" xr:uid="{00000000-0005-0000-0000-0000B4210000}"/>
    <cellStyle name="Normal 5 2 4 2 4 5" xfId="9118" xr:uid="{00000000-0005-0000-0000-0000B5210000}"/>
    <cellStyle name="Normal 5 2 4 2 5" xfId="9119" xr:uid="{00000000-0005-0000-0000-0000B6210000}"/>
    <cellStyle name="Normal 5 2 4 2 5 2" xfId="9120" xr:uid="{00000000-0005-0000-0000-0000B7210000}"/>
    <cellStyle name="Normal 5 2 4 2 5 3" xfId="9121" xr:uid="{00000000-0005-0000-0000-0000B8210000}"/>
    <cellStyle name="Normal 5 2 4 2 6" xfId="9122" xr:uid="{00000000-0005-0000-0000-0000B9210000}"/>
    <cellStyle name="Normal 5 2 4 2 7" xfId="9123" xr:uid="{00000000-0005-0000-0000-0000BA210000}"/>
    <cellStyle name="Normal 5 2 4 2 8" xfId="9124" xr:uid="{00000000-0005-0000-0000-0000BB210000}"/>
    <cellStyle name="Normal 5 2 4 3" xfId="9125" xr:uid="{00000000-0005-0000-0000-0000BC210000}"/>
    <cellStyle name="Normal 5 2 4 3 2" xfId="9126" xr:uid="{00000000-0005-0000-0000-0000BD210000}"/>
    <cellStyle name="Normal 5 2 4 3 2 2" xfId="9127" xr:uid="{00000000-0005-0000-0000-0000BE210000}"/>
    <cellStyle name="Normal 5 2 4 3 2 2 2" xfId="9128" xr:uid="{00000000-0005-0000-0000-0000BF210000}"/>
    <cellStyle name="Normal 5 2 4 3 2 2 3" xfId="9129" xr:uid="{00000000-0005-0000-0000-0000C0210000}"/>
    <cellStyle name="Normal 5 2 4 3 2 3" xfId="9130" xr:uid="{00000000-0005-0000-0000-0000C1210000}"/>
    <cellStyle name="Normal 5 2 4 3 2 4" xfId="9131" xr:uid="{00000000-0005-0000-0000-0000C2210000}"/>
    <cellStyle name="Normal 5 2 4 3 2 5" xfId="9132" xr:uid="{00000000-0005-0000-0000-0000C3210000}"/>
    <cellStyle name="Normal 5 2 4 3 3" xfId="9133" xr:uid="{00000000-0005-0000-0000-0000C4210000}"/>
    <cellStyle name="Normal 5 2 4 3 3 2" xfId="9134" xr:uid="{00000000-0005-0000-0000-0000C5210000}"/>
    <cellStyle name="Normal 5 2 4 3 3 2 2" xfId="9135" xr:uid="{00000000-0005-0000-0000-0000C6210000}"/>
    <cellStyle name="Normal 5 2 4 3 3 2 3" xfId="9136" xr:uid="{00000000-0005-0000-0000-0000C7210000}"/>
    <cellStyle name="Normal 5 2 4 3 3 3" xfId="9137" xr:uid="{00000000-0005-0000-0000-0000C8210000}"/>
    <cellStyle name="Normal 5 2 4 3 3 4" xfId="9138" xr:uid="{00000000-0005-0000-0000-0000C9210000}"/>
    <cellStyle name="Normal 5 2 4 3 3 5" xfId="9139" xr:uid="{00000000-0005-0000-0000-0000CA210000}"/>
    <cellStyle name="Normal 5 2 4 3 4" xfId="9140" xr:uid="{00000000-0005-0000-0000-0000CB210000}"/>
    <cellStyle name="Normal 5 2 4 3 4 2" xfId="9141" xr:uid="{00000000-0005-0000-0000-0000CC210000}"/>
    <cellStyle name="Normal 5 2 4 3 4 3" xfId="9142" xr:uid="{00000000-0005-0000-0000-0000CD210000}"/>
    <cellStyle name="Normal 5 2 4 3 5" xfId="9143" xr:uid="{00000000-0005-0000-0000-0000CE210000}"/>
    <cellStyle name="Normal 5 2 4 3 6" xfId="9144" xr:uid="{00000000-0005-0000-0000-0000CF210000}"/>
    <cellStyle name="Normal 5 2 4 3 7" xfId="9145" xr:uid="{00000000-0005-0000-0000-0000D0210000}"/>
    <cellStyle name="Normal 5 2 4 4" xfId="9146" xr:uid="{00000000-0005-0000-0000-0000D1210000}"/>
    <cellStyle name="Normal 5 2 4 4 2" xfId="9147" xr:uid="{00000000-0005-0000-0000-0000D2210000}"/>
    <cellStyle name="Normal 5 2 4 4 2 2" xfId="9148" xr:uid="{00000000-0005-0000-0000-0000D3210000}"/>
    <cellStyle name="Normal 5 2 4 4 2 3" xfId="9149" xr:uid="{00000000-0005-0000-0000-0000D4210000}"/>
    <cellStyle name="Normal 5 2 4 4 3" xfId="9150" xr:uid="{00000000-0005-0000-0000-0000D5210000}"/>
    <cellStyle name="Normal 5 2 4 4 4" xfId="9151" xr:uid="{00000000-0005-0000-0000-0000D6210000}"/>
    <cellStyle name="Normal 5 2 4 4 5" xfId="9152" xr:uid="{00000000-0005-0000-0000-0000D7210000}"/>
    <cellStyle name="Normal 5 2 4 5" xfId="9153" xr:uid="{00000000-0005-0000-0000-0000D8210000}"/>
    <cellStyle name="Normal 5 2 4 5 2" xfId="9154" xr:uid="{00000000-0005-0000-0000-0000D9210000}"/>
    <cellStyle name="Normal 5 2 4 5 2 2" xfId="9155" xr:uid="{00000000-0005-0000-0000-0000DA210000}"/>
    <cellStyle name="Normal 5 2 4 5 2 3" xfId="9156" xr:uid="{00000000-0005-0000-0000-0000DB210000}"/>
    <cellStyle name="Normal 5 2 4 5 3" xfId="9157" xr:uid="{00000000-0005-0000-0000-0000DC210000}"/>
    <cellStyle name="Normal 5 2 4 5 4" xfId="9158" xr:uid="{00000000-0005-0000-0000-0000DD210000}"/>
    <cellStyle name="Normal 5 2 4 5 5" xfId="9159" xr:uid="{00000000-0005-0000-0000-0000DE210000}"/>
    <cellStyle name="Normal 5 2 4 6" xfId="9160" xr:uid="{00000000-0005-0000-0000-0000DF210000}"/>
    <cellStyle name="Normal 5 2 4 6 2" xfId="9161" xr:uid="{00000000-0005-0000-0000-0000E0210000}"/>
    <cellStyle name="Normal 5 2 4 6 3" xfId="9162" xr:uid="{00000000-0005-0000-0000-0000E1210000}"/>
    <cellStyle name="Normal 5 2 4 7" xfId="9163" xr:uid="{00000000-0005-0000-0000-0000E2210000}"/>
    <cellStyle name="Normal 5 2 4 8" xfId="9164" xr:uid="{00000000-0005-0000-0000-0000E3210000}"/>
    <cellStyle name="Normal 5 2 4 9" xfId="9165" xr:uid="{00000000-0005-0000-0000-0000E4210000}"/>
    <cellStyle name="Normal 5 2 5" xfId="9166" xr:uid="{00000000-0005-0000-0000-0000E5210000}"/>
    <cellStyle name="Normal 5 2 5 2" xfId="9167" xr:uid="{00000000-0005-0000-0000-0000E6210000}"/>
    <cellStyle name="Normal 5 2 5 2 2" xfId="9168" xr:uid="{00000000-0005-0000-0000-0000E7210000}"/>
    <cellStyle name="Normal 5 2 5 2 2 2" xfId="9169" xr:uid="{00000000-0005-0000-0000-0000E8210000}"/>
    <cellStyle name="Normal 5 2 5 2 2 2 2" xfId="9170" xr:uid="{00000000-0005-0000-0000-0000E9210000}"/>
    <cellStyle name="Normal 5 2 5 2 2 2 3" xfId="9171" xr:uid="{00000000-0005-0000-0000-0000EA210000}"/>
    <cellStyle name="Normal 5 2 5 2 2 3" xfId="9172" xr:uid="{00000000-0005-0000-0000-0000EB210000}"/>
    <cellStyle name="Normal 5 2 5 2 2 4" xfId="9173" xr:uid="{00000000-0005-0000-0000-0000EC210000}"/>
    <cellStyle name="Normal 5 2 5 2 2 5" xfId="9174" xr:uid="{00000000-0005-0000-0000-0000ED210000}"/>
    <cellStyle name="Normal 5 2 5 2 3" xfId="9175" xr:uid="{00000000-0005-0000-0000-0000EE210000}"/>
    <cellStyle name="Normal 5 2 5 2 3 2" xfId="9176" xr:uid="{00000000-0005-0000-0000-0000EF210000}"/>
    <cellStyle name="Normal 5 2 5 2 3 2 2" xfId="9177" xr:uid="{00000000-0005-0000-0000-0000F0210000}"/>
    <cellStyle name="Normal 5 2 5 2 3 2 3" xfId="9178" xr:uid="{00000000-0005-0000-0000-0000F1210000}"/>
    <cellStyle name="Normal 5 2 5 2 3 3" xfId="9179" xr:uid="{00000000-0005-0000-0000-0000F2210000}"/>
    <cellStyle name="Normal 5 2 5 2 3 4" xfId="9180" xr:uid="{00000000-0005-0000-0000-0000F3210000}"/>
    <cellStyle name="Normal 5 2 5 2 3 5" xfId="9181" xr:uid="{00000000-0005-0000-0000-0000F4210000}"/>
    <cellStyle name="Normal 5 2 5 2 4" xfId="9182" xr:uid="{00000000-0005-0000-0000-0000F5210000}"/>
    <cellStyle name="Normal 5 2 5 2 4 2" xfId="9183" xr:uid="{00000000-0005-0000-0000-0000F6210000}"/>
    <cellStyle name="Normal 5 2 5 2 4 3" xfId="9184" xr:uid="{00000000-0005-0000-0000-0000F7210000}"/>
    <cellStyle name="Normal 5 2 5 2 5" xfId="9185" xr:uid="{00000000-0005-0000-0000-0000F8210000}"/>
    <cellStyle name="Normal 5 2 5 2 6" xfId="9186" xr:uid="{00000000-0005-0000-0000-0000F9210000}"/>
    <cellStyle name="Normal 5 2 5 2 7" xfId="9187" xr:uid="{00000000-0005-0000-0000-0000FA210000}"/>
    <cellStyle name="Normal 5 2 5 3" xfId="9188" xr:uid="{00000000-0005-0000-0000-0000FB210000}"/>
    <cellStyle name="Normal 5 2 5 3 2" xfId="9189" xr:uid="{00000000-0005-0000-0000-0000FC210000}"/>
    <cellStyle name="Normal 5 2 5 3 2 2" xfId="9190" xr:uid="{00000000-0005-0000-0000-0000FD210000}"/>
    <cellStyle name="Normal 5 2 5 3 2 3" xfId="9191" xr:uid="{00000000-0005-0000-0000-0000FE210000}"/>
    <cellStyle name="Normal 5 2 5 3 3" xfId="9192" xr:uid="{00000000-0005-0000-0000-0000FF210000}"/>
    <cellStyle name="Normal 5 2 5 3 4" xfId="9193" xr:uid="{00000000-0005-0000-0000-000000220000}"/>
    <cellStyle name="Normal 5 2 5 3 5" xfId="9194" xr:uid="{00000000-0005-0000-0000-000001220000}"/>
    <cellStyle name="Normal 5 2 5 4" xfId="9195" xr:uid="{00000000-0005-0000-0000-000002220000}"/>
    <cellStyle name="Normal 5 2 5 4 2" xfId="9196" xr:uid="{00000000-0005-0000-0000-000003220000}"/>
    <cellStyle name="Normal 5 2 5 4 2 2" xfId="9197" xr:uid="{00000000-0005-0000-0000-000004220000}"/>
    <cellStyle name="Normal 5 2 5 4 2 3" xfId="9198" xr:uid="{00000000-0005-0000-0000-000005220000}"/>
    <cellStyle name="Normal 5 2 5 4 3" xfId="9199" xr:uid="{00000000-0005-0000-0000-000006220000}"/>
    <cellStyle name="Normal 5 2 5 4 4" xfId="9200" xr:uid="{00000000-0005-0000-0000-000007220000}"/>
    <cellStyle name="Normal 5 2 5 4 5" xfId="9201" xr:uid="{00000000-0005-0000-0000-000008220000}"/>
    <cellStyle name="Normal 5 2 5 5" xfId="9202" xr:uid="{00000000-0005-0000-0000-000009220000}"/>
    <cellStyle name="Normal 5 2 5 5 2" xfId="9203" xr:uid="{00000000-0005-0000-0000-00000A220000}"/>
    <cellStyle name="Normal 5 2 5 5 3" xfId="9204" xr:uid="{00000000-0005-0000-0000-00000B220000}"/>
    <cellStyle name="Normal 5 2 5 6" xfId="9205" xr:uid="{00000000-0005-0000-0000-00000C220000}"/>
    <cellStyle name="Normal 5 2 5 7" xfId="9206" xr:uid="{00000000-0005-0000-0000-00000D220000}"/>
    <cellStyle name="Normal 5 2 5 8" xfId="9207" xr:uid="{00000000-0005-0000-0000-00000E220000}"/>
    <cellStyle name="Normal 5 2 6" xfId="9208" xr:uid="{00000000-0005-0000-0000-00000F220000}"/>
    <cellStyle name="Normal 5 2 6 2" xfId="9209" xr:uid="{00000000-0005-0000-0000-000010220000}"/>
    <cellStyle name="Normal 5 2 6 2 2" xfId="9210" xr:uid="{00000000-0005-0000-0000-000011220000}"/>
    <cellStyle name="Normal 5 2 6 2 2 2" xfId="9211" xr:uid="{00000000-0005-0000-0000-000012220000}"/>
    <cellStyle name="Normal 5 2 6 2 2 3" xfId="9212" xr:uid="{00000000-0005-0000-0000-000013220000}"/>
    <cellStyle name="Normal 5 2 6 2 3" xfId="9213" xr:uid="{00000000-0005-0000-0000-000014220000}"/>
    <cellStyle name="Normal 5 2 6 2 4" xfId="9214" xr:uid="{00000000-0005-0000-0000-000015220000}"/>
    <cellStyle name="Normal 5 2 6 2 5" xfId="9215" xr:uid="{00000000-0005-0000-0000-000016220000}"/>
    <cellStyle name="Normal 5 2 6 3" xfId="9216" xr:uid="{00000000-0005-0000-0000-000017220000}"/>
    <cellStyle name="Normal 5 2 6 3 2" xfId="9217" xr:uid="{00000000-0005-0000-0000-000018220000}"/>
    <cellStyle name="Normal 5 2 6 3 2 2" xfId="9218" xr:uid="{00000000-0005-0000-0000-000019220000}"/>
    <cellStyle name="Normal 5 2 6 3 2 3" xfId="9219" xr:uid="{00000000-0005-0000-0000-00001A220000}"/>
    <cellStyle name="Normal 5 2 6 3 3" xfId="9220" xr:uid="{00000000-0005-0000-0000-00001B220000}"/>
    <cellStyle name="Normal 5 2 6 3 4" xfId="9221" xr:uid="{00000000-0005-0000-0000-00001C220000}"/>
    <cellStyle name="Normal 5 2 6 3 5" xfId="9222" xr:uid="{00000000-0005-0000-0000-00001D220000}"/>
    <cellStyle name="Normal 5 2 6 4" xfId="9223" xr:uid="{00000000-0005-0000-0000-00001E220000}"/>
    <cellStyle name="Normal 5 2 6 4 2" xfId="9224" xr:uid="{00000000-0005-0000-0000-00001F220000}"/>
    <cellStyle name="Normal 5 2 6 4 3" xfId="9225" xr:uid="{00000000-0005-0000-0000-000020220000}"/>
    <cellStyle name="Normal 5 2 6 5" xfId="9226" xr:uid="{00000000-0005-0000-0000-000021220000}"/>
    <cellStyle name="Normal 5 2 6 6" xfId="9227" xr:uid="{00000000-0005-0000-0000-000022220000}"/>
    <cellStyle name="Normal 5 2 6 7" xfId="9228" xr:uid="{00000000-0005-0000-0000-000023220000}"/>
    <cellStyle name="Normal 5 2 7" xfId="9229" xr:uid="{00000000-0005-0000-0000-000024220000}"/>
    <cellStyle name="Normal 5 2 7 2" xfId="9230" xr:uid="{00000000-0005-0000-0000-000025220000}"/>
    <cellStyle name="Normal 5 2 7 2 2" xfId="9231" xr:uid="{00000000-0005-0000-0000-000026220000}"/>
    <cellStyle name="Normal 5 2 7 2 2 2" xfId="9232" xr:uid="{00000000-0005-0000-0000-000027220000}"/>
    <cellStyle name="Normal 5 2 7 2 2 3" xfId="9233" xr:uid="{00000000-0005-0000-0000-000028220000}"/>
    <cellStyle name="Normal 5 2 7 2 3" xfId="9234" xr:uid="{00000000-0005-0000-0000-000029220000}"/>
    <cellStyle name="Normal 5 2 7 2 4" xfId="9235" xr:uid="{00000000-0005-0000-0000-00002A220000}"/>
    <cellStyle name="Normal 5 2 7 2 5" xfId="9236" xr:uid="{00000000-0005-0000-0000-00002B220000}"/>
    <cellStyle name="Normal 5 2 7 3" xfId="9237" xr:uid="{00000000-0005-0000-0000-00002C220000}"/>
    <cellStyle name="Normal 5 2 7 3 2" xfId="9238" xr:uid="{00000000-0005-0000-0000-00002D220000}"/>
    <cellStyle name="Normal 5 2 7 3 2 2" xfId="9239" xr:uid="{00000000-0005-0000-0000-00002E220000}"/>
    <cellStyle name="Normal 5 2 7 3 2 3" xfId="9240" xr:uid="{00000000-0005-0000-0000-00002F220000}"/>
    <cellStyle name="Normal 5 2 7 3 3" xfId="9241" xr:uid="{00000000-0005-0000-0000-000030220000}"/>
    <cellStyle name="Normal 5 2 7 3 4" xfId="9242" xr:uid="{00000000-0005-0000-0000-000031220000}"/>
    <cellStyle name="Normal 5 2 7 3 5" xfId="9243" xr:uid="{00000000-0005-0000-0000-000032220000}"/>
    <cellStyle name="Normal 5 2 7 4" xfId="9244" xr:uid="{00000000-0005-0000-0000-000033220000}"/>
    <cellStyle name="Normal 5 2 7 4 2" xfId="9245" xr:uid="{00000000-0005-0000-0000-000034220000}"/>
    <cellStyle name="Normal 5 2 7 4 3" xfId="9246" xr:uid="{00000000-0005-0000-0000-000035220000}"/>
    <cellStyle name="Normal 5 2 7 5" xfId="9247" xr:uid="{00000000-0005-0000-0000-000036220000}"/>
    <cellStyle name="Normal 5 2 7 6" xfId="9248" xr:uid="{00000000-0005-0000-0000-000037220000}"/>
    <cellStyle name="Normal 5 2 7 7" xfId="9249" xr:uid="{00000000-0005-0000-0000-000038220000}"/>
    <cellStyle name="Normal 5 2 8" xfId="9250" xr:uid="{00000000-0005-0000-0000-000039220000}"/>
    <cellStyle name="Normal 5 2 8 2" xfId="9251" xr:uid="{00000000-0005-0000-0000-00003A220000}"/>
    <cellStyle name="Normal 5 2 8 2 2" xfId="9252" xr:uid="{00000000-0005-0000-0000-00003B220000}"/>
    <cellStyle name="Normal 5 2 8 2 3" xfId="9253" xr:uid="{00000000-0005-0000-0000-00003C220000}"/>
    <cellStyle name="Normal 5 2 8 3" xfId="9254" xr:uid="{00000000-0005-0000-0000-00003D220000}"/>
    <cellStyle name="Normal 5 2 8 4" xfId="9255" xr:uid="{00000000-0005-0000-0000-00003E220000}"/>
    <cellStyle name="Normal 5 2 8 5" xfId="9256" xr:uid="{00000000-0005-0000-0000-00003F220000}"/>
    <cellStyle name="Normal 5 2 9" xfId="9257" xr:uid="{00000000-0005-0000-0000-000040220000}"/>
    <cellStyle name="Normal 5 2 9 2" xfId="9258" xr:uid="{00000000-0005-0000-0000-000041220000}"/>
    <cellStyle name="Normal 5 2 9 2 2" xfId="9259" xr:uid="{00000000-0005-0000-0000-000042220000}"/>
    <cellStyle name="Normal 5 2 9 2 3" xfId="9260" xr:uid="{00000000-0005-0000-0000-000043220000}"/>
    <cellStyle name="Normal 5 2 9 3" xfId="9261" xr:uid="{00000000-0005-0000-0000-000044220000}"/>
    <cellStyle name="Normal 5 2 9 4" xfId="9262" xr:uid="{00000000-0005-0000-0000-000045220000}"/>
    <cellStyle name="Normal 5 2 9 5" xfId="9263" xr:uid="{00000000-0005-0000-0000-000046220000}"/>
    <cellStyle name="Normal 5 28" xfId="9264" xr:uid="{00000000-0005-0000-0000-000047220000}"/>
    <cellStyle name="Normal 5 28 2" xfId="9265" xr:uid="{00000000-0005-0000-0000-000048220000}"/>
    <cellStyle name="Normal 5 3" xfId="343" xr:uid="{00000000-0005-0000-0000-000049220000}"/>
    <cellStyle name="Normal 5 3 10" xfId="9266" xr:uid="{00000000-0005-0000-0000-00004A220000}"/>
    <cellStyle name="Normal 5 3 2" xfId="9267" xr:uid="{00000000-0005-0000-0000-00004B220000}"/>
    <cellStyle name="Normal 5 3 2 2" xfId="9268" xr:uid="{00000000-0005-0000-0000-00004C220000}"/>
    <cellStyle name="Normal 5 3 2 2 2" xfId="9269" xr:uid="{00000000-0005-0000-0000-00004D220000}"/>
    <cellStyle name="Normal 5 3 2 2 2 2" xfId="9270" xr:uid="{00000000-0005-0000-0000-00004E220000}"/>
    <cellStyle name="Normal 5 3 2 2 2 2 2" xfId="9271" xr:uid="{00000000-0005-0000-0000-00004F220000}"/>
    <cellStyle name="Normal 5 3 2 2 2 2 3" xfId="9272" xr:uid="{00000000-0005-0000-0000-000050220000}"/>
    <cellStyle name="Normal 5 3 2 2 2 3" xfId="9273" xr:uid="{00000000-0005-0000-0000-000051220000}"/>
    <cellStyle name="Normal 5 3 2 2 2 4" xfId="9274" xr:uid="{00000000-0005-0000-0000-000052220000}"/>
    <cellStyle name="Normal 5 3 2 2 2 5" xfId="9275" xr:uid="{00000000-0005-0000-0000-000053220000}"/>
    <cellStyle name="Normal 5 3 2 2 3" xfId="9276" xr:uid="{00000000-0005-0000-0000-000054220000}"/>
    <cellStyle name="Normal 5 3 2 2 3 2" xfId="9277" xr:uid="{00000000-0005-0000-0000-000055220000}"/>
    <cellStyle name="Normal 5 3 2 2 3 2 2" xfId="9278" xr:uid="{00000000-0005-0000-0000-000056220000}"/>
    <cellStyle name="Normal 5 3 2 2 3 2 3" xfId="9279" xr:uid="{00000000-0005-0000-0000-000057220000}"/>
    <cellStyle name="Normal 5 3 2 2 3 3" xfId="9280" xr:uid="{00000000-0005-0000-0000-000058220000}"/>
    <cellStyle name="Normal 5 3 2 2 3 4" xfId="9281" xr:uid="{00000000-0005-0000-0000-000059220000}"/>
    <cellStyle name="Normal 5 3 2 2 3 5" xfId="9282" xr:uid="{00000000-0005-0000-0000-00005A220000}"/>
    <cellStyle name="Normal 5 3 2 2 4" xfId="9283" xr:uid="{00000000-0005-0000-0000-00005B220000}"/>
    <cellStyle name="Normal 5 3 2 2 4 2" xfId="9284" xr:uid="{00000000-0005-0000-0000-00005C220000}"/>
    <cellStyle name="Normal 5 3 2 2 4 3" xfId="9285" xr:uid="{00000000-0005-0000-0000-00005D220000}"/>
    <cellStyle name="Normal 5 3 2 2 5" xfId="9286" xr:uid="{00000000-0005-0000-0000-00005E220000}"/>
    <cellStyle name="Normal 5 3 2 2 6" xfId="9287" xr:uid="{00000000-0005-0000-0000-00005F220000}"/>
    <cellStyle name="Normal 5 3 2 2 7" xfId="9288" xr:uid="{00000000-0005-0000-0000-000060220000}"/>
    <cellStyle name="Normal 5 3 2 3" xfId="9289" xr:uid="{00000000-0005-0000-0000-000061220000}"/>
    <cellStyle name="Normal 5 3 2 3 2" xfId="9290" xr:uid="{00000000-0005-0000-0000-000062220000}"/>
    <cellStyle name="Normal 5 3 2 3 2 2" xfId="9291" xr:uid="{00000000-0005-0000-0000-000063220000}"/>
    <cellStyle name="Normal 5 3 2 3 2 3" xfId="9292" xr:uid="{00000000-0005-0000-0000-000064220000}"/>
    <cellStyle name="Normal 5 3 2 3 3" xfId="9293" xr:uid="{00000000-0005-0000-0000-000065220000}"/>
    <cellStyle name="Normal 5 3 2 3 4" xfId="9294" xr:uid="{00000000-0005-0000-0000-000066220000}"/>
    <cellStyle name="Normal 5 3 2 3 5" xfId="9295" xr:uid="{00000000-0005-0000-0000-000067220000}"/>
    <cellStyle name="Normal 5 3 2 4" xfId="9296" xr:uid="{00000000-0005-0000-0000-000068220000}"/>
    <cellStyle name="Normal 5 3 2 4 2" xfId="9297" xr:uid="{00000000-0005-0000-0000-000069220000}"/>
    <cellStyle name="Normal 5 3 2 4 2 2" xfId="9298" xr:uid="{00000000-0005-0000-0000-00006A220000}"/>
    <cellStyle name="Normal 5 3 2 4 2 3" xfId="9299" xr:uid="{00000000-0005-0000-0000-00006B220000}"/>
    <cellStyle name="Normal 5 3 2 4 3" xfId="9300" xr:uid="{00000000-0005-0000-0000-00006C220000}"/>
    <cellStyle name="Normal 5 3 2 4 4" xfId="9301" xr:uid="{00000000-0005-0000-0000-00006D220000}"/>
    <cellStyle name="Normal 5 3 2 4 5" xfId="9302" xr:uid="{00000000-0005-0000-0000-00006E220000}"/>
    <cellStyle name="Normal 5 3 2 5" xfId="9303" xr:uid="{00000000-0005-0000-0000-00006F220000}"/>
    <cellStyle name="Normal 5 3 2 5 2" xfId="9304" xr:uid="{00000000-0005-0000-0000-000070220000}"/>
    <cellStyle name="Normal 5 3 2 5 3" xfId="9305" xr:uid="{00000000-0005-0000-0000-000071220000}"/>
    <cellStyle name="Normal 5 3 2 6" xfId="9306" xr:uid="{00000000-0005-0000-0000-000072220000}"/>
    <cellStyle name="Normal 5 3 2 7" xfId="9307" xr:uid="{00000000-0005-0000-0000-000073220000}"/>
    <cellStyle name="Normal 5 3 2 8" xfId="9308" xr:uid="{00000000-0005-0000-0000-000074220000}"/>
    <cellStyle name="Normal 5 3 3" xfId="9309" xr:uid="{00000000-0005-0000-0000-000075220000}"/>
    <cellStyle name="Normal 5 3 3 2" xfId="9310" xr:uid="{00000000-0005-0000-0000-000076220000}"/>
    <cellStyle name="Normal 5 3 3 2 2" xfId="9311" xr:uid="{00000000-0005-0000-0000-000077220000}"/>
    <cellStyle name="Normal 5 3 3 2 2 2" xfId="9312" xr:uid="{00000000-0005-0000-0000-000078220000}"/>
    <cellStyle name="Normal 5 3 3 2 2 3" xfId="9313" xr:uid="{00000000-0005-0000-0000-000079220000}"/>
    <cellStyle name="Normal 5 3 3 2 3" xfId="9314" xr:uid="{00000000-0005-0000-0000-00007A220000}"/>
    <cellStyle name="Normal 5 3 3 2 4" xfId="9315" xr:uid="{00000000-0005-0000-0000-00007B220000}"/>
    <cellStyle name="Normal 5 3 3 2 5" xfId="9316" xr:uid="{00000000-0005-0000-0000-00007C220000}"/>
    <cellStyle name="Normal 5 3 3 3" xfId="9317" xr:uid="{00000000-0005-0000-0000-00007D220000}"/>
    <cellStyle name="Normal 5 3 3 3 2" xfId="9318" xr:uid="{00000000-0005-0000-0000-00007E220000}"/>
    <cellStyle name="Normal 5 3 3 3 2 2" xfId="9319" xr:uid="{00000000-0005-0000-0000-00007F220000}"/>
    <cellStyle name="Normal 5 3 3 3 2 3" xfId="9320" xr:uid="{00000000-0005-0000-0000-000080220000}"/>
    <cellStyle name="Normal 5 3 3 3 3" xfId="9321" xr:uid="{00000000-0005-0000-0000-000081220000}"/>
    <cellStyle name="Normal 5 3 3 3 4" xfId="9322" xr:uid="{00000000-0005-0000-0000-000082220000}"/>
    <cellStyle name="Normal 5 3 3 3 5" xfId="9323" xr:uid="{00000000-0005-0000-0000-000083220000}"/>
    <cellStyle name="Normal 5 3 3 4" xfId="9324" xr:uid="{00000000-0005-0000-0000-000084220000}"/>
    <cellStyle name="Normal 5 3 3 4 2" xfId="9325" xr:uid="{00000000-0005-0000-0000-000085220000}"/>
    <cellStyle name="Normal 5 3 3 4 3" xfId="9326" xr:uid="{00000000-0005-0000-0000-000086220000}"/>
    <cellStyle name="Normal 5 3 3 5" xfId="9327" xr:uid="{00000000-0005-0000-0000-000087220000}"/>
    <cellStyle name="Normal 5 3 3 6" xfId="9328" xr:uid="{00000000-0005-0000-0000-000088220000}"/>
    <cellStyle name="Normal 5 3 3 7" xfId="9329" xr:uid="{00000000-0005-0000-0000-000089220000}"/>
    <cellStyle name="Normal 5 3 4" xfId="9330" xr:uid="{00000000-0005-0000-0000-00008A220000}"/>
    <cellStyle name="Normal 5 3 4 2" xfId="9331" xr:uid="{00000000-0005-0000-0000-00008B220000}"/>
    <cellStyle name="Normal 5 3 4 2 2" xfId="9332" xr:uid="{00000000-0005-0000-0000-00008C220000}"/>
    <cellStyle name="Normal 5 3 4 2 3" xfId="9333" xr:uid="{00000000-0005-0000-0000-00008D220000}"/>
    <cellStyle name="Normal 5 3 4 3" xfId="9334" xr:uid="{00000000-0005-0000-0000-00008E220000}"/>
    <cellStyle name="Normal 5 3 4 4" xfId="9335" xr:uid="{00000000-0005-0000-0000-00008F220000}"/>
    <cellStyle name="Normal 5 3 4 5" xfId="9336" xr:uid="{00000000-0005-0000-0000-000090220000}"/>
    <cellStyle name="Normal 5 3 5" xfId="9337" xr:uid="{00000000-0005-0000-0000-000091220000}"/>
    <cellStyle name="Normal 5 3 5 2" xfId="9338" xr:uid="{00000000-0005-0000-0000-000092220000}"/>
    <cellStyle name="Normal 5 3 5 2 2" xfId="9339" xr:uid="{00000000-0005-0000-0000-000093220000}"/>
    <cellStyle name="Normal 5 3 5 2 3" xfId="9340" xr:uid="{00000000-0005-0000-0000-000094220000}"/>
    <cellStyle name="Normal 5 3 5 3" xfId="9341" xr:uid="{00000000-0005-0000-0000-000095220000}"/>
    <cellStyle name="Normal 5 3 5 4" xfId="9342" xr:uid="{00000000-0005-0000-0000-000096220000}"/>
    <cellStyle name="Normal 5 3 5 5" xfId="9343" xr:uid="{00000000-0005-0000-0000-000097220000}"/>
    <cellStyle name="Normal 5 3 6" xfId="9344" xr:uid="{00000000-0005-0000-0000-000098220000}"/>
    <cellStyle name="Normal 5 3 6 2" xfId="9345" xr:uid="{00000000-0005-0000-0000-000099220000}"/>
    <cellStyle name="Normal 5 3 6 3" xfId="9346" xr:uid="{00000000-0005-0000-0000-00009A220000}"/>
    <cellStyle name="Normal 5 3 7" xfId="9347" xr:uid="{00000000-0005-0000-0000-00009B220000}"/>
    <cellStyle name="Normal 5 3 8" xfId="9348" xr:uid="{00000000-0005-0000-0000-00009C220000}"/>
    <cellStyle name="Normal 5 3 9" xfId="9349" xr:uid="{00000000-0005-0000-0000-00009D220000}"/>
    <cellStyle name="Normal 5 4" xfId="443" xr:uid="{00000000-0005-0000-0000-00009E220000}"/>
    <cellStyle name="Normal 5 4 10" xfId="9350" xr:uid="{00000000-0005-0000-0000-00009F220000}"/>
    <cellStyle name="Normal 5 4 2" xfId="9351" xr:uid="{00000000-0005-0000-0000-0000A0220000}"/>
    <cellStyle name="Normal 5 4 2 2" xfId="9352" xr:uid="{00000000-0005-0000-0000-0000A1220000}"/>
    <cellStyle name="Normal 5 4 2 2 2" xfId="9353" xr:uid="{00000000-0005-0000-0000-0000A2220000}"/>
    <cellStyle name="Normal 5 4 2 2 2 2" xfId="9354" xr:uid="{00000000-0005-0000-0000-0000A3220000}"/>
    <cellStyle name="Normal 5 4 2 2 2 2 2" xfId="9355" xr:uid="{00000000-0005-0000-0000-0000A4220000}"/>
    <cellStyle name="Normal 5 4 2 2 2 2 3" xfId="9356" xr:uid="{00000000-0005-0000-0000-0000A5220000}"/>
    <cellStyle name="Normal 5 4 2 2 2 3" xfId="9357" xr:uid="{00000000-0005-0000-0000-0000A6220000}"/>
    <cellStyle name="Normal 5 4 2 2 2 4" xfId="9358" xr:uid="{00000000-0005-0000-0000-0000A7220000}"/>
    <cellStyle name="Normal 5 4 2 2 2 5" xfId="9359" xr:uid="{00000000-0005-0000-0000-0000A8220000}"/>
    <cellStyle name="Normal 5 4 2 2 3" xfId="9360" xr:uid="{00000000-0005-0000-0000-0000A9220000}"/>
    <cellStyle name="Normal 5 4 2 2 3 2" xfId="9361" xr:uid="{00000000-0005-0000-0000-0000AA220000}"/>
    <cellStyle name="Normal 5 4 2 2 3 2 2" xfId="9362" xr:uid="{00000000-0005-0000-0000-0000AB220000}"/>
    <cellStyle name="Normal 5 4 2 2 3 2 3" xfId="9363" xr:uid="{00000000-0005-0000-0000-0000AC220000}"/>
    <cellStyle name="Normal 5 4 2 2 3 3" xfId="9364" xr:uid="{00000000-0005-0000-0000-0000AD220000}"/>
    <cellStyle name="Normal 5 4 2 2 3 4" xfId="9365" xr:uid="{00000000-0005-0000-0000-0000AE220000}"/>
    <cellStyle name="Normal 5 4 2 2 3 5" xfId="9366" xr:uid="{00000000-0005-0000-0000-0000AF220000}"/>
    <cellStyle name="Normal 5 4 2 2 4" xfId="9367" xr:uid="{00000000-0005-0000-0000-0000B0220000}"/>
    <cellStyle name="Normal 5 4 2 2 4 2" xfId="9368" xr:uid="{00000000-0005-0000-0000-0000B1220000}"/>
    <cellStyle name="Normal 5 4 2 2 4 3" xfId="9369" xr:uid="{00000000-0005-0000-0000-0000B2220000}"/>
    <cellStyle name="Normal 5 4 2 2 5" xfId="9370" xr:uid="{00000000-0005-0000-0000-0000B3220000}"/>
    <cellStyle name="Normal 5 4 2 2 6" xfId="9371" xr:uid="{00000000-0005-0000-0000-0000B4220000}"/>
    <cellStyle name="Normal 5 4 2 2 7" xfId="9372" xr:uid="{00000000-0005-0000-0000-0000B5220000}"/>
    <cellStyle name="Normal 5 4 2 3" xfId="9373" xr:uid="{00000000-0005-0000-0000-0000B6220000}"/>
    <cellStyle name="Normal 5 4 2 3 2" xfId="9374" xr:uid="{00000000-0005-0000-0000-0000B7220000}"/>
    <cellStyle name="Normal 5 4 2 3 2 2" xfId="9375" xr:uid="{00000000-0005-0000-0000-0000B8220000}"/>
    <cellStyle name="Normal 5 4 2 3 2 3" xfId="9376" xr:uid="{00000000-0005-0000-0000-0000B9220000}"/>
    <cellStyle name="Normal 5 4 2 3 3" xfId="9377" xr:uid="{00000000-0005-0000-0000-0000BA220000}"/>
    <cellStyle name="Normal 5 4 2 3 4" xfId="9378" xr:uid="{00000000-0005-0000-0000-0000BB220000}"/>
    <cellStyle name="Normal 5 4 2 3 5" xfId="9379" xr:uid="{00000000-0005-0000-0000-0000BC220000}"/>
    <cellStyle name="Normal 5 4 2 4" xfId="9380" xr:uid="{00000000-0005-0000-0000-0000BD220000}"/>
    <cellStyle name="Normal 5 4 2 4 2" xfId="9381" xr:uid="{00000000-0005-0000-0000-0000BE220000}"/>
    <cellStyle name="Normal 5 4 2 4 2 2" xfId="9382" xr:uid="{00000000-0005-0000-0000-0000BF220000}"/>
    <cellStyle name="Normal 5 4 2 4 2 3" xfId="9383" xr:uid="{00000000-0005-0000-0000-0000C0220000}"/>
    <cellStyle name="Normal 5 4 2 4 3" xfId="9384" xr:uid="{00000000-0005-0000-0000-0000C1220000}"/>
    <cellStyle name="Normal 5 4 2 4 4" xfId="9385" xr:uid="{00000000-0005-0000-0000-0000C2220000}"/>
    <cellStyle name="Normal 5 4 2 4 5" xfId="9386" xr:uid="{00000000-0005-0000-0000-0000C3220000}"/>
    <cellStyle name="Normal 5 4 2 5" xfId="9387" xr:uid="{00000000-0005-0000-0000-0000C4220000}"/>
    <cellStyle name="Normal 5 4 2 5 2" xfId="9388" xr:uid="{00000000-0005-0000-0000-0000C5220000}"/>
    <cellStyle name="Normal 5 4 2 5 3" xfId="9389" xr:uid="{00000000-0005-0000-0000-0000C6220000}"/>
    <cellStyle name="Normal 5 4 2 6" xfId="9390" xr:uid="{00000000-0005-0000-0000-0000C7220000}"/>
    <cellStyle name="Normal 5 4 2 7" xfId="9391" xr:uid="{00000000-0005-0000-0000-0000C8220000}"/>
    <cellStyle name="Normal 5 4 2 8" xfId="9392" xr:uid="{00000000-0005-0000-0000-0000C9220000}"/>
    <cellStyle name="Normal 5 4 3" xfId="9393" xr:uid="{00000000-0005-0000-0000-0000CA220000}"/>
    <cellStyle name="Normal 5 4 3 2" xfId="9394" xr:uid="{00000000-0005-0000-0000-0000CB220000}"/>
    <cellStyle name="Normal 5 4 3 2 2" xfId="9395" xr:uid="{00000000-0005-0000-0000-0000CC220000}"/>
    <cellStyle name="Normal 5 4 3 2 2 2" xfId="9396" xr:uid="{00000000-0005-0000-0000-0000CD220000}"/>
    <cellStyle name="Normal 5 4 3 2 2 3" xfId="9397" xr:uid="{00000000-0005-0000-0000-0000CE220000}"/>
    <cellStyle name="Normal 5 4 3 2 3" xfId="9398" xr:uid="{00000000-0005-0000-0000-0000CF220000}"/>
    <cellStyle name="Normal 5 4 3 2 4" xfId="9399" xr:uid="{00000000-0005-0000-0000-0000D0220000}"/>
    <cellStyle name="Normal 5 4 3 2 5" xfId="9400" xr:uid="{00000000-0005-0000-0000-0000D1220000}"/>
    <cellStyle name="Normal 5 4 3 3" xfId="9401" xr:uid="{00000000-0005-0000-0000-0000D2220000}"/>
    <cellStyle name="Normal 5 4 3 3 2" xfId="9402" xr:uid="{00000000-0005-0000-0000-0000D3220000}"/>
    <cellStyle name="Normal 5 4 3 3 2 2" xfId="9403" xr:uid="{00000000-0005-0000-0000-0000D4220000}"/>
    <cellStyle name="Normal 5 4 3 3 2 3" xfId="9404" xr:uid="{00000000-0005-0000-0000-0000D5220000}"/>
    <cellStyle name="Normal 5 4 3 3 3" xfId="9405" xr:uid="{00000000-0005-0000-0000-0000D6220000}"/>
    <cellStyle name="Normal 5 4 3 3 4" xfId="9406" xr:uid="{00000000-0005-0000-0000-0000D7220000}"/>
    <cellStyle name="Normal 5 4 3 3 5" xfId="9407" xr:uid="{00000000-0005-0000-0000-0000D8220000}"/>
    <cellStyle name="Normal 5 4 3 4" xfId="9408" xr:uid="{00000000-0005-0000-0000-0000D9220000}"/>
    <cellStyle name="Normal 5 4 3 4 2" xfId="9409" xr:uid="{00000000-0005-0000-0000-0000DA220000}"/>
    <cellStyle name="Normal 5 4 3 4 3" xfId="9410" xr:uid="{00000000-0005-0000-0000-0000DB220000}"/>
    <cellStyle name="Normal 5 4 3 5" xfId="9411" xr:uid="{00000000-0005-0000-0000-0000DC220000}"/>
    <cellStyle name="Normal 5 4 3 6" xfId="9412" xr:uid="{00000000-0005-0000-0000-0000DD220000}"/>
    <cellStyle name="Normal 5 4 3 7" xfId="9413" xr:uid="{00000000-0005-0000-0000-0000DE220000}"/>
    <cellStyle name="Normal 5 4 4" xfId="9414" xr:uid="{00000000-0005-0000-0000-0000DF220000}"/>
    <cellStyle name="Normal 5 4 4 2" xfId="9415" xr:uid="{00000000-0005-0000-0000-0000E0220000}"/>
    <cellStyle name="Normal 5 4 4 2 2" xfId="9416" xr:uid="{00000000-0005-0000-0000-0000E1220000}"/>
    <cellStyle name="Normal 5 4 4 2 3" xfId="9417" xr:uid="{00000000-0005-0000-0000-0000E2220000}"/>
    <cellStyle name="Normal 5 4 4 3" xfId="9418" xr:uid="{00000000-0005-0000-0000-0000E3220000}"/>
    <cellStyle name="Normal 5 4 4 4" xfId="9419" xr:uid="{00000000-0005-0000-0000-0000E4220000}"/>
    <cellStyle name="Normal 5 4 4 5" xfId="9420" xr:uid="{00000000-0005-0000-0000-0000E5220000}"/>
    <cellStyle name="Normal 5 4 5" xfId="9421" xr:uid="{00000000-0005-0000-0000-0000E6220000}"/>
    <cellStyle name="Normal 5 4 5 2" xfId="9422" xr:uid="{00000000-0005-0000-0000-0000E7220000}"/>
    <cellStyle name="Normal 5 4 5 2 2" xfId="9423" xr:uid="{00000000-0005-0000-0000-0000E8220000}"/>
    <cellStyle name="Normal 5 4 5 2 3" xfId="9424" xr:uid="{00000000-0005-0000-0000-0000E9220000}"/>
    <cellStyle name="Normal 5 4 5 3" xfId="9425" xr:uid="{00000000-0005-0000-0000-0000EA220000}"/>
    <cellStyle name="Normal 5 4 5 4" xfId="9426" xr:uid="{00000000-0005-0000-0000-0000EB220000}"/>
    <cellStyle name="Normal 5 4 5 5" xfId="9427" xr:uid="{00000000-0005-0000-0000-0000EC220000}"/>
    <cellStyle name="Normal 5 4 6" xfId="9428" xr:uid="{00000000-0005-0000-0000-0000ED220000}"/>
    <cellStyle name="Normal 5 4 6 2" xfId="9429" xr:uid="{00000000-0005-0000-0000-0000EE220000}"/>
    <cellStyle name="Normal 5 4 6 3" xfId="9430" xr:uid="{00000000-0005-0000-0000-0000EF220000}"/>
    <cellStyle name="Normal 5 4 7" xfId="9431" xr:uid="{00000000-0005-0000-0000-0000F0220000}"/>
    <cellStyle name="Normal 5 4 8" xfId="9432" xr:uid="{00000000-0005-0000-0000-0000F1220000}"/>
    <cellStyle name="Normal 5 4 9" xfId="9433" xr:uid="{00000000-0005-0000-0000-0000F2220000}"/>
    <cellStyle name="Normal 5 5" xfId="550" xr:uid="{00000000-0005-0000-0000-0000F3220000}"/>
    <cellStyle name="Normal 5 5 10" xfId="9434" xr:uid="{00000000-0005-0000-0000-0000F4220000}"/>
    <cellStyle name="Normal 5 5 2" xfId="9435" xr:uid="{00000000-0005-0000-0000-0000F5220000}"/>
    <cellStyle name="Normal 5 5 2 2" xfId="9436" xr:uid="{00000000-0005-0000-0000-0000F6220000}"/>
    <cellStyle name="Normal 5 5 2 2 2" xfId="9437" xr:uid="{00000000-0005-0000-0000-0000F7220000}"/>
    <cellStyle name="Normal 5 5 2 2 2 2" xfId="9438" xr:uid="{00000000-0005-0000-0000-0000F8220000}"/>
    <cellStyle name="Normal 5 5 2 2 2 2 2" xfId="9439" xr:uid="{00000000-0005-0000-0000-0000F9220000}"/>
    <cellStyle name="Normal 5 5 2 2 2 2 3" xfId="9440" xr:uid="{00000000-0005-0000-0000-0000FA220000}"/>
    <cellStyle name="Normal 5 5 2 2 2 3" xfId="9441" xr:uid="{00000000-0005-0000-0000-0000FB220000}"/>
    <cellStyle name="Normal 5 5 2 2 2 4" xfId="9442" xr:uid="{00000000-0005-0000-0000-0000FC220000}"/>
    <cellStyle name="Normal 5 5 2 2 2 5" xfId="9443" xr:uid="{00000000-0005-0000-0000-0000FD220000}"/>
    <cellStyle name="Normal 5 5 2 2 3" xfId="9444" xr:uid="{00000000-0005-0000-0000-0000FE220000}"/>
    <cellStyle name="Normal 5 5 2 2 3 2" xfId="9445" xr:uid="{00000000-0005-0000-0000-0000FF220000}"/>
    <cellStyle name="Normal 5 5 2 2 3 2 2" xfId="9446" xr:uid="{00000000-0005-0000-0000-000000230000}"/>
    <cellStyle name="Normal 5 5 2 2 3 2 3" xfId="9447" xr:uid="{00000000-0005-0000-0000-000001230000}"/>
    <cellStyle name="Normal 5 5 2 2 3 3" xfId="9448" xr:uid="{00000000-0005-0000-0000-000002230000}"/>
    <cellStyle name="Normal 5 5 2 2 3 4" xfId="9449" xr:uid="{00000000-0005-0000-0000-000003230000}"/>
    <cellStyle name="Normal 5 5 2 2 3 5" xfId="9450" xr:uid="{00000000-0005-0000-0000-000004230000}"/>
    <cellStyle name="Normal 5 5 2 2 4" xfId="9451" xr:uid="{00000000-0005-0000-0000-000005230000}"/>
    <cellStyle name="Normal 5 5 2 2 4 2" xfId="9452" xr:uid="{00000000-0005-0000-0000-000006230000}"/>
    <cellStyle name="Normal 5 5 2 2 4 3" xfId="9453" xr:uid="{00000000-0005-0000-0000-000007230000}"/>
    <cellStyle name="Normal 5 5 2 2 5" xfId="9454" xr:uid="{00000000-0005-0000-0000-000008230000}"/>
    <cellStyle name="Normal 5 5 2 2 6" xfId="9455" xr:uid="{00000000-0005-0000-0000-000009230000}"/>
    <cellStyle name="Normal 5 5 2 2 7" xfId="9456" xr:uid="{00000000-0005-0000-0000-00000A230000}"/>
    <cellStyle name="Normal 5 5 2 3" xfId="9457" xr:uid="{00000000-0005-0000-0000-00000B230000}"/>
    <cellStyle name="Normal 5 5 2 3 2" xfId="9458" xr:uid="{00000000-0005-0000-0000-00000C230000}"/>
    <cellStyle name="Normal 5 5 2 3 2 2" xfId="9459" xr:uid="{00000000-0005-0000-0000-00000D230000}"/>
    <cellStyle name="Normal 5 5 2 3 2 3" xfId="9460" xr:uid="{00000000-0005-0000-0000-00000E230000}"/>
    <cellStyle name="Normal 5 5 2 3 3" xfId="9461" xr:uid="{00000000-0005-0000-0000-00000F230000}"/>
    <cellStyle name="Normal 5 5 2 3 4" xfId="9462" xr:uid="{00000000-0005-0000-0000-000010230000}"/>
    <cellStyle name="Normal 5 5 2 3 5" xfId="9463" xr:uid="{00000000-0005-0000-0000-000011230000}"/>
    <cellStyle name="Normal 5 5 2 4" xfId="9464" xr:uid="{00000000-0005-0000-0000-000012230000}"/>
    <cellStyle name="Normal 5 5 2 4 2" xfId="9465" xr:uid="{00000000-0005-0000-0000-000013230000}"/>
    <cellStyle name="Normal 5 5 2 4 2 2" xfId="9466" xr:uid="{00000000-0005-0000-0000-000014230000}"/>
    <cellStyle name="Normal 5 5 2 4 2 3" xfId="9467" xr:uid="{00000000-0005-0000-0000-000015230000}"/>
    <cellStyle name="Normal 5 5 2 4 3" xfId="9468" xr:uid="{00000000-0005-0000-0000-000016230000}"/>
    <cellStyle name="Normal 5 5 2 4 4" xfId="9469" xr:uid="{00000000-0005-0000-0000-000017230000}"/>
    <cellStyle name="Normal 5 5 2 4 5" xfId="9470" xr:uid="{00000000-0005-0000-0000-000018230000}"/>
    <cellStyle name="Normal 5 5 2 5" xfId="9471" xr:uid="{00000000-0005-0000-0000-000019230000}"/>
    <cellStyle name="Normal 5 5 2 5 2" xfId="9472" xr:uid="{00000000-0005-0000-0000-00001A230000}"/>
    <cellStyle name="Normal 5 5 2 5 3" xfId="9473" xr:uid="{00000000-0005-0000-0000-00001B230000}"/>
    <cellStyle name="Normal 5 5 2 6" xfId="9474" xr:uid="{00000000-0005-0000-0000-00001C230000}"/>
    <cellStyle name="Normal 5 5 2 7" xfId="9475" xr:uid="{00000000-0005-0000-0000-00001D230000}"/>
    <cellStyle name="Normal 5 5 2 8" xfId="9476" xr:uid="{00000000-0005-0000-0000-00001E230000}"/>
    <cellStyle name="Normal 5 5 3" xfId="9477" xr:uid="{00000000-0005-0000-0000-00001F230000}"/>
    <cellStyle name="Normal 5 5 3 2" xfId="9478" xr:uid="{00000000-0005-0000-0000-000020230000}"/>
    <cellStyle name="Normal 5 5 3 2 2" xfId="9479" xr:uid="{00000000-0005-0000-0000-000021230000}"/>
    <cellStyle name="Normal 5 5 3 2 2 2" xfId="9480" xr:uid="{00000000-0005-0000-0000-000022230000}"/>
    <cellStyle name="Normal 5 5 3 2 2 3" xfId="9481" xr:uid="{00000000-0005-0000-0000-000023230000}"/>
    <cellStyle name="Normal 5 5 3 2 3" xfId="9482" xr:uid="{00000000-0005-0000-0000-000024230000}"/>
    <cellStyle name="Normal 5 5 3 2 4" xfId="9483" xr:uid="{00000000-0005-0000-0000-000025230000}"/>
    <cellStyle name="Normal 5 5 3 2 5" xfId="9484" xr:uid="{00000000-0005-0000-0000-000026230000}"/>
    <cellStyle name="Normal 5 5 3 3" xfId="9485" xr:uid="{00000000-0005-0000-0000-000027230000}"/>
    <cellStyle name="Normal 5 5 3 3 2" xfId="9486" xr:uid="{00000000-0005-0000-0000-000028230000}"/>
    <cellStyle name="Normal 5 5 3 3 2 2" xfId="9487" xr:uid="{00000000-0005-0000-0000-000029230000}"/>
    <cellStyle name="Normal 5 5 3 3 2 3" xfId="9488" xr:uid="{00000000-0005-0000-0000-00002A230000}"/>
    <cellStyle name="Normal 5 5 3 3 3" xfId="9489" xr:uid="{00000000-0005-0000-0000-00002B230000}"/>
    <cellStyle name="Normal 5 5 3 3 4" xfId="9490" xr:uid="{00000000-0005-0000-0000-00002C230000}"/>
    <cellStyle name="Normal 5 5 3 3 5" xfId="9491" xr:uid="{00000000-0005-0000-0000-00002D230000}"/>
    <cellStyle name="Normal 5 5 3 4" xfId="9492" xr:uid="{00000000-0005-0000-0000-00002E230000}"/>
    <cellStyle name="Normal 5 5 3 4 2" xfId="9493" xr:uid="{00000000-0005-0000-0000-00002F230000}"/>
    <cellStyle name="Normal 5 5 3 4 3" xfId="9494" xr:uid="{00000000-0005-0000-0000-000030230000}"/>
    <cellStyle name="Normal 5 5 3 5" xfId="9495" xr:uid="{00000000-0005-0000-0000-000031230000}"/>
    <cellStyle name="Normal 5 5 3 6" xfId="9496" xr:uid="{00000000-0005-0000-0000-000032230000}"/>
    <cellStyle name="Normal 5 5 3 7" xfId="9497" xr:uid="{00000000-0005-0000-0000-000033230000}"/>
    <cellStyle name="Normal 5 5 4" xfId="9498" xr:uid="{00000000-0005-0000-0000-000034230000}"/>
    <cellStyle name="Normal 5 5 4 2" xfId="9499" xr:uid="{00000000-0005-0000-0000-000035230000}"/>
    <cellStyle name="Normal 5 5 4 2 2" xfId="9500" xr:uid="{00000000-0005-0000-0000-000036230000}"/>
    <cellStyle name="Normal 5 5 4 2 3" xfId="9501" xr:uid="{00000000-0005-0000-0000-000037230000}"/>
    <cellStyle name="Normal 5 5 4 3" xfId="9502" xr:uid="{00000000-0005-0000-0000-000038230000}"/>
    <cellStyle name="Normal 5 5 4 4" xfId="9503" xr:uid="{00000000-0005-0000-0000-000039230000}"/>
    <cellStyle name="Normal 5 5 4 5" xfId="9504" xr:uid="{00000000-0005-0000-0000-00003A230000}"/>
    <cellStyle name="Normal 5 5 5" xfId="9505" xr:uid="{00000000-0005-0000-0000-00003B230000}"/>
    <cellStyle name="Normal 5 5 5 2" xfId="9506" xr:uid="{00000000-0005-0000-0000-00003C230000}"/>
    <cellStyle name="Normal 5 5 5 2 2" xfId="9507" xr:uid="{00000000-0005-0000-0000-00003D230000}"/>
    <cellStyle name="Normal 5 5 5 2 3" xfId="9508" xr:uid="{00000000-0005-0000-0000-00003E230000}"/>
    <cellStyle name="Normal 5 5 5 3" xfId="9509" xr:uid="{00000000-0005-0000-0000-00003F230000}"/>
    <cellStyle name="Normal 5 5 5 4" xfId="9510" xr:uid="{00000000-0005-0000-0000-000040230000}"/>
    <cellStyle name="Normal 5 5 5 5" xfId="9511" xr:uid="{00000000-0005-0000-0000-000041230000}"/>
    <cellStyle name="Normal 5 5 6" xfId="9512" xr:uid="{00000000-0005-0000-0000-000042230000}"/>
    <cellStyle name="Normal 5 5 6 2" xfId="9513" xr:uid="{00000000-0005-0000-0000-000043230000}"/>
    <cellStyle name="Normal 5 5 6 3" xfId="9514" xr:uid="{00000000-0005-0000-0000-000044230000}"/>
    <cellStyle name="Normal 5 5 7" xfId="9515" xr:uid="{00000000-0005-0000-0000-000045230000}"/>
    <cellStyle name="Normal 5 5 8" xfId="9516" xr:uid="{00000000-0005-0000-0000-000046230000}"/>
    <cellStyle name="Normal 5 5 9" xfId="9517" xr:uid="{00000000-0005-0000-0000-000047230000}"/>
    <cellStyle name="Normal 5 6" xfId="9518" xr:uid="{00000000-0005-0000-0000-000048230000}"/>
    <cellStyle name="Normal 5 6 2" xfId="9519" xr:uid="{00000000-0005-0000-0000-000049230000}"/>
    <cellStyle name="Normal 5 6 2 2" xfId="9520" xr:uid="{00000000-0005-0000-0000-00004A230000}"/>
    <cellStyle name="Normal 5 6 2 2 2" xfId="9521" xr:uid="{00000000-0005-0000-0000-00004B230000}"/>
    <cellStyle name="Normal 5 6 2 2 2 2" xfId="9522" xr:uid="{00000000-0005-0000-0000-00004C230000}"/>
    <cellStyle name="Normal 5 6 2 2 2 3" xfId="9523" xr:uid="{00000000-0005-0000-0000-00004D230000}"/>
    <cellStyle name="Normal 5 6 2 2 3" xfId="9524" xr:uid="{00000000-0005-0000-0000-00004E230000}"/>
    <cellStyle name="Normal 5 6 2 2 4" xfId="9525" xr:uid="{00000000-0005-0000-0000-00004F230000}"/>
    <cellStyle name="Normal 5 6 2 2 5" xfId="9526" xr:uid="{00000000-0005-0000-0000-000050230000}"/>
    <cellStyle name="Normal 5 6 2 3" xfId="9527" xr:uid="{00000000-0005-0000-0000-000051230000}"/>
    <cellStyle name="Normal 5 6 2 3 2" xfId="9528" xr:uid="{00000000-0005-0000-0000-000052230000}"/>
    <cellStyle name="Normal 5 6 2 3 2 2" xfId="9529" xr:uid="{00000000-0005-0000-0000-000053230000}"/>
    <cellStyle name="Normal 5 6 2 3 2 3" xfId="9530" xr:uid="{00000000-0005-0000-0000-000054230000}"/>
    <cellStyle name="Normal 5 6 2 3 3" xfId="9531" xr:uid="{00000000-0005-0000-0000-000055230000}"/>
    <cellStyle name="Normal 5 6 2 3 4" xfId="9532" xr:uid="{00000000-0005-0000-0000-000056230000}"/>
    <cellStyle name="Normal 5 6 2 3 5" xfId="9533" xr:uid="{00000000-0005-0000-0000-000057230000}"/>
    <cellStyle name="Normal 5 6 2 4" xfId="9534" xr:uid="{00000000-0005-0000-0000-000058230000}"/>
    <cellStyle name="Normal 5 6 2 4 2" xfId="9535" xr:uid="{00000000-0005-0000-0000-000059230000}"/>
    <cellStyle name="Normal 5 6 2 4 3" xfId="9536" xr:uid="{00000000-0005-0000-0000-00005A230000}"/>
    <cellStyle name="Normal 5 6 2 5" xfId="9537" xr:uid="{00000000-0005-0000-0000-00005B230000}"/>
    <cellStyle name="Normal 5 6 2 6" xfId="9538" xr:uid="{00000000-0005-0000-0000-00005C230000}"/>
    <cellStyle name="Normal 5 6 2 7" xfId="9539" xr:uid="{00000000-0005-0000-0000-00005D230000}"/>
    <cellStyle name="Normal 5 6 3" xfId="9540" xr:uid="{00000000-0005-0000-0000-00005E230000}"/>
    <cellStyle name="Normal 5 6 3 2" xfId="9541" xr:uid="{00000000-0005-0000-0000-00005F230000}"/>
    <cellStyle name="Normal 5 6 3 2 2" xfId="9542" xr:uid="{00000000-0005-0000-0000-000060230000}"/>
    <cellStyle name="Normal 5 6 3 2 3" xfId="9543" xr:uid="{00000000-0005-0000-0000-000061230000}"/>
    <cellStyle name="Normal 5 6 3 3" xfId="9544" xr:uid="{00000000-0005-0000-0000-000062230000}"/>
    <cellStyle name="Normal 5 6 3 4" xfId="9545" xr:uid="{00000000-0005-0000-0000-000063230000}"/>
    <cellStyle name="Normal 5 6 3 5" xfId="9546" xr:uid="{00000000-0005-0000-0000-000064230000}"/>
    <cellStyle name="Normal 5 6 4" xfId="9547" xr:uid="{00000000-0005-0000-0000-000065230000}"/>
    <cellStyle name="Normal 5 6 4 2" xfId="9548" xr:uid="{00000000-0005-0000-0000-000066230000}"/>
    <cellStyle name="Normal 5 6 4 2 2" xfId="9549" xr:uid="{00000000-0005-0000-0000-000067230000}"/>
    <cellStyle name="Normal 5 6 4 2 3" xfId="9550" xr:uid="{00000000-0005-0000-0000-000068230000}"/>
    <cellStyle name="Normal 5 6 4 3" xfId="9551" xr:uid="{00000000-0005-0000-0000-000069230000}"/>
    <cellStyle name="Normal 5 6 4 4" xfId="9552" xr:uid="{00000000-0005-0000-0000-00006A230000}"/>
    <cellStyle name="Normal 5 6 4 5" xfId="9553" xr:uid="{00000000-0005-0000-0000-00006B230000}"/>
    <cellStyle name="Normal 5 6 5" xfId="9554" xr:uid="{00000000-0005-0000-0000-00006C230000}"/>
    <cellStyle name="Normal 5 6 5 2" xfId="9555" xr:uid="{00000000-0005-0000-0000-00006D230000}"/>
    <cellStyle name="Normal 5 6 5 3" xfId="9556" xr:uid="{00000000-0005-0000-0000-00006E230000}"/>
    <cellStyle name="Normal 5 6 6" xfId="9557" xr:uid="{00000000-0005-0000-0000-00006F230000}"/>
    <cellStyle name="Normal 5 6 7" xfId="9558" xr:uid="{00000000-0005-0000-0000-000070230000}"/>
    <cellStyle name="Normal 5 6 8" xfId="9559" xr:uid="{00000000-0005-0000-0000-000071230000}"/>
    <cellStyle name="Normal 5 7" xfId="9560" xr:uid="{00000000-0005-0000-0000-000072230000}"/>
    <cellStyle name="Normal 5 7 2" xfId="9561" xr:uid="{00000000-0005-0000-0000-000073230000}"/>
    <cellStyle name="Normal 5 7 2 2" xfId="9562" xr:uid="{00000000-0005-0000-0000-000074230000}"/>
    <cellStyle name="Normal 5 7 2 2 2" xfId="9563" xr:uid="{00000000-0005-0000-0000-000075230000}"/>
    <cellStyle name="Normal 5 7 2 2 3" xfId="9564" xr:uid="{00000000-0005-0000-0000-000076230000}"/>
    <cellStyle name="Normal 5 7 2 3" xfId="9565" xr:uid="{00000000-0005-0000-0000-000077230000}"/>
    <cellStyle name="Normal 5 7 2 4" xfId="9566" xr:uid="{00000000-0005-0000-0000-000078230000}"/>
    <cellStyle name="Normal 5 7 2 5" xfId="9567" xr:uid="{00000000-0005-0000-0000-000079230000}"/>
    <cellStyle name="Normal 5 7 3" xfId="9568" xr:uid="{00000000-0005-0000-0000-00007A230000}"/>
    <cellStyle name="Normal 5 7 3 2" xfId="9569" xr:uid="{00000000-0005-0000-0000-00007B230000}"/>
    <cellStyle name="Normal 5 7 3 2 2" xfId="9570" xr:uid="{00000000-0005-0000-0000-00007C230000}"/>
    <cellStyle name="Normal 5 7 3 2 3" xfId="9571" xr:uid="{00000000-0005-0000-0000-00007D230000}"/>
    <cellStyle name="Normal 5 7 3 3" xfId="9572" xr:uid="{00000000-0005-0000-0000-00007E230000}"/>
    <cellStyle name="Normal 5 7 3 4" xfId="9573" xr:uid="{00000000-0005-0000-0000-00007F230000}"/>
    <cellStyle name="Normal 5 7 3 5" xfId="9574" xr:uid="{00000000-0005-0000-0000-000080230000}"/>
    <cellStyle name="Normal 5 8" xfId="9575" xr:uid="{00000000-0005-0000-0000-000081230000}"/>
    <cellStyle name="Normal 5 8 2" xfId="9576" xr:uid="{00000000-0005-0000-0000-000082230000}"/>
    <cellStyle name="Normal 5 8 2 2" xfId="9577" xr:uid="{00000000-0005-0000-0000-000083230000}"/>
    <cellStyle name="Normal 5 8 2 2 2" xfId="9578" xr:uid="{00000000-0005-0000-0000-000084230000}"/>
    <cellStyle name="Normal 5 8 2 2 3" xfId="9579" xr:uid="{00000000-0005-0000-0000-000085230000}"/>
    <cellStyle name="Normal 5 8 2 3" xfId="9580" xr:uid="{00000000-0005-0000-0000-000086230000}"/>
    <cellStyle name="Normal 5 8 2 4" xfId="9581" xr:uid="{00000000-0005-0000-0000-000087230000}"/>
    <cellStyle name="Normal 5 8 2 5" xfId="9582" xr:uid="{00000000-0005-0000-0000-000088230000}"/>
    <cellStyle name="Normal 5 8 3" xfId="9583" xr:uid="{00000000-0005-0000-0000-000089230000}"/>
    <cellStyle name="Normal 5 8 3 2" xfId="9584" xr:uid="{00000000-0005-0000-0000-00008A230000}"/>
    <cellStyle name="Normal 5 8 3 2 2" xfId="9585" xr:uid="{00000000-0005-0000-0000-00008B230000}"/>
    <cellStyle name="Normal 5 8 3 2 3" xfId="9586" xr:uid="{00000000-0005-0000-0000-00008C230000}"/>
    <cellStyle name="Normal 5 8 3 3" xfId="9587" xr:uid="{00000000-0005-0000-0000-00008D230000}"/>
    <cellStyle name="Normal 5 8 3 4" xfId="9588" xr:uid="{00000000-0005-0000-0000-00008E230000}"/>
    <cellStyle name="Normal 5 8 3 5" xfId="9589" xr:uid="{00000000-0005-0000-0000-00008F230000}"/>
    <cellStyle name="Normal 5 8 4" xfId="9590" xr:uid="{00000000-0005-0000-0000-000090230000}"/>
    <cellStyle name="Normal 5 8 4 2" xfId="9591" xr:uid="{00000000-0005-0000-0000-000091230000}"/>
    <cellStyle name="Normal 5 8 4 3" xfId="9592" xr:uid="{00000000-0005-0000-0000-000092230000}"/>
    <cellStyle name="Normal 5 8 5" xfId="9593" xr:uid="{00000000-0005-0000-0000-000093230000}"/>
    <cellStyle name="Normal 5 8 6" xfId="9594" xr:uid="{00000000-0005-0000-0000-000094230000}"/>
    <cellStyle name="Normal 5 8 7" xfId="9595" xr:uid="{00000000-0005-0000-0000-000095230000}"/>
    <cellStyle name="Normal 5 9" xfId="9596" xr:uid="{00000000-0005-0000-0000-000096230000}"/>
    <cellStyle name="Normal 5 9 2" xfId="9597" xr:uid="{00000000-0005-0000-0000-000097230000}"/>
    <cellStyle name="Normal 5 9 2 2" xfId="9598" xr:uid="{00000000-0005-0000-0000-000098230000}"/>
    <cellStyle name="Normal 5 9 2 3" xfId="9599" xr:uid="{00000000-0005-0000-0000-000099230000}"/>
    <cellStyle name="Normal 5 9 3" xfId="9600" xr:uid="{00000000-0005-0000-0000-00009A230000}"/>
    <cellStyle name="Normal 5 9 4" xfId="9601" xr:uid="{00000000-0005-0000-0000-00009B230000}"/>
    <cellStyle name="Normal 5 9 5" xfId="9602" xr:uid="{00000000-0005-0000-0000-00009C230000}"/>
    <cellStyle name="Normal 50" xfId="565" xr:uid="{00000000-0005-0000-0000-00009D230000}"/>
    <cellStyle name="Normal 51" xfId="566" xr:uid="{00000000-0005-0000-0000-00009E230000}"/>
    <cellStyle name="Normal 52" xfId="822" xr:uid="{00000000-0005-0000-0000-00009F230000}"/>
    <cellStyle name="Normal 53" xfId="9603" xr:uid="{00000000-0005-0000-0000-0000A0230000}"/>
    <cellStyle name="Normal 53 2" xfId="9604" xr:uid="{00000000-0005-0000-0000-0000A1230000}"/>
    <cellStyle name="Normal 54" xfId="10333" xr:uid="{00000000-0005-0000-0000-0000A2230000}"/>
    <cellStyle name="Normal 55" xfId="10335" xr:uid="{00000000-0005-0000-0000-0000A3230000}"/>
    <cellStyle name="Normal 6" xfId="344" xr:uid="{00000000-0005-0000-0000-0000A4230000}"/>
    <cellStyle name="Normal 6 10" xfId="1271" xr:uid="{00000000-0005-0000-0000-0000A5230000}"/>
    <cellStyle name="Normal 6 10 2" xfId="1487" xr:uid="{00000000-0005-0000-0000-0000A6230000}"/>
    <cellStyle name="Normal 6 10 2 2" xfId="10221" xr:uid="{00000000-0005-0000-0000-0000A7230000}"/>
    <cellStyle name="Normal 6 10 3" xfId="10005" xr:uid="{00000000-0005-0000-0000-0000A8230000}"/>
    <cellStyle name="Normal 6 11" xfId="1343" xr:uid="{00000000-0005-0000-0000-0000A9230000}"/>
    <cellStyle name="Normal 6 11 2" xfId="10077" xr:uid="{00000000-0005-0000-0000-0000AA230000}"/>
    <cellStyle name="Normal 6 12" xfId="9859" xr:uid="{00000000-0005-0000-0000-0000AB230000}"/>
    <cellStyle name="Normal 6 13" xfId="735" xr:uid="{00000000-0005-0000-0000-0000AC230000}"/>
    <cellStyle name="Normal 6 2" xfId="559" xr:uid="{00000000-0005-0000-0000-0000AD230000}"/>
    <cellStyle name="Normal 6 2 10" xfId="9860" xr:uid="{00000000-0005-0000-0000-0000AE230000}"/>
    <cellStyle name="Normal 6 2 11" xfId="736" xr:uid="{00000000-0005-0000-0000-0000AF230000}"/>
    <cellStyle name="Normal 6 2 2" xfId="737" xr:uid="{00000000-0005-0000-0000-0000B0230000}"/>
    <cellStyle name="Normal 6 2 2 2" xfId="738" xr:uid="{00000000-0005-0000-0000-0000B1230000}"/>
    <cellStyle name="Normal 6 2 2 2 2" xfId="892" xr:uid="{00000000-0005-0000-0000-0000B2230000}"/>
    <cellStyle name="Normal 6 2 2 2 2 2" xfId="1205" xr:uid="{00000000-0005-0000-0000-0000B3230000}"/>
    <cellStyle name="Normal 6 2 2 2 2 2 2" xfId="1431" xr:uid="{00000000-0005-0000-0000-0000B4230000}"/>
    <cellStyle name="Normal 6 2 2 2 2 2 2 2" xfId="10165" xr:uid="{00000000-0005-0000-0000-0000B5230000}"/>
    <cellStyle name="Normal 6 2 2 2 2 2 3" xfId="9949" xr:uid="{00000000-0005-0000-0000-0000B6230000}"/>
    <cellStyle name="Normal 6 2 2 2 2 3" xfId="1287" xr:uid="{00000000-0005-0000-0000-0000B7230000}"/>
    <cellStyle name="Normal 6 2 2 2 2 3 2" xfId="1503" xr:uid="{00000000-0005-0000-0000-0000B8230000}"/>
    <cellStyle name="Normal 6 2 2 2 2 3 2 2" xfId="10237" xr:uid="{00000000-0005-0000-0000-0000B9230000}"/>
    <cellStyle name="Normal 6 2 2 2 2 3 3" xfId="10021" xr:uid="{00000000-0005-0000-0000-0000BA230000}"/>
    <cellStyle name="Normal 6 2 2 2 2 4" xfId="1359" xr:uid="{00000000-0005-0000-0000-0000BB230000}"/>
    <cellStyle name="Normal 6 2 2 2 2 4 2" xfId="10093" xr:uid="{00000000-0005-0000-0000-0000BC230000}"/>
    <cellStyle name="Normal 6 2 2 2 2 5" xfId="9877" xr:uid="{00000000-0005-0000-0000-0000BD230000}"/>
    <cellStyle name="Normal 6 2 2 2 3" xfId="934" xr:uid="{00000000-0005-0000-0000-0000BE230000}"/>
    <cellStyle name="Normal 6 2 2 2 3 2" xfId="1218" xr:uid="{00000000-0005-0000-0000-0000BF230000}"/>
    <cellStyle name="Normal 6 2 2 2 3 2 2" xfId="1444" xr:uid="{00000000-0005-0000-0000-0000C0230000}"/>
    <cellStyle name="Normal 6 2 2 2 3 2 2 2" xfId="10178" xr:uid="{00000000-0005-0000-0000-0000C1230000}"/>
    <cellStyle name="Normal 6 2 2 2 3 2 3" xfId="9962" xr:uid="{00000000-0005-0000-0000-0000C2230000}"/>
    <cellStyle name="Normal 6 2 2 2 3 3" xfId="1300" xr:uid="{00000000-0005-0000-0000-0000C3230000}"/>
    <cellStyle name="Normal 6 2 2 2 3 3 2" xfId="1516" xr:uid="{00000000-0005-0000-0000-0000C4230000}"/>
    <cellStyle name="Normal 6 2 2 2 3 3 2 2" xfId="10250" xr:uid="{00000000-0005-0000-0000-0000C5230000}"/>
    <cellStyle name="Normal 6 2 2 2 3 3 3" xfId="10034" xr:uid="{00000000-0005-0000-0000-0000C6230000}"/>
    <cellStyle name="Normal 6 2 2 2 3 4" xfId="1372" xr:uid="{00000000-0005-0000-0000-0000C7230000}"/>
    <cellStyle name="Normal 6 2 2 2 3 4 2" xfId="10106" xr:uid="{00000000-0005-0000-0000-0000C8230000}"/>
    <cellStyle name="Normal 6 2 2 2 3 5" xfId="9890" xr:uid="{00000000-0005-0000-0000-0000C9230000}"/>
    <cellStyle name="Normal 6 2 2 2 4" xfId="1152" xr:uid="{00000000-0005-0000-0000-0000CA230000}"/>
    <cellStyle name="Normal 6 2 2 2 4 2" xfId="1255" xr:uid="{00000000-0005-0000-0000-0000CB230000}"/>
    <cellStyle name="Normal 6 2 2 2 4 2 2" xfId="1471" xr:uid="{00000000-0005-0000-0000-0000CC230000}"/>
    <cellStyle name="Normal 6 2 2 2 4 2 2 2" xfId="10205" xr:uid="{00000000-0005-0000-0000-0000CD230000}"/>
    <cellStyle name="Normal 6 2 2 2 4 2 3" xfId="9989" xr:uid="{00000000-0005-0000-0000-0000CE230000}"/>
    <cellStyle name="Normal 6 2 2 2 4 3" xfId="1327" xr:uid="{00000000-0005-0000-0000-0000CF230000}"/>
    <cellStyle name="Normal 6 2 2 2 4 3 2" xfId="1543" xr:uid="{00000000-0005-0000-0000-0000D0230000}"/>
    <cellStyle name="Normal 6 2 2 2 4 3 2 2" xfId="10277" xr:uid="{00000000-0005-0000-0000-0000D1230000}"/>
    <cellStyle name="Normal 6 2 2 2 4 3 3" xfId="10061" xr:uid="{00000000-0005-0000-0000-0000D2230000}"/>
    <cellStyle name="Normal 6 2 2 2 4 4" xfId="1399" xr:uid="{00000000-0005-0000-0000-0000D3230000}"/>
    <cellStyle name="Normal 6 2 2 2 4 4 2" xfId="10133" xr:uid="{00000000-0005-0000-0000-0000D4230000}"/>
    <cellStyle name="Normal 6 2 2 2 4 5" xfId="9917" xr:uid="{00000000-0005-0000-0000-0000D5230000}"/>
    <cellStyle name="Normal 6 2 2 2 5" xfId="1191" xr:uid="{00000000-0005-0000-0000-0000D6230000}"/>
    <cellStyle name="Normal 6 2 2 2 5 2" xfId="1418" xr:uid="{00000000-0005-0000-0000-0000D7230000}"/>
    <cellStyle name="Normal 6 2 2 2 5 2 2" xfId="10152" xr:uid="{00000000-0005-0000-0000-0000D8230000}"/>
    <cellStyle name="Normal 6 2 2 2 5 3" xfId="9936" xr:uid="{00000000-0005-0000-0000-0000D9230000}"/>
    <cellStyle name="Normal 6 2 2 2 6" xfId="1274" xr:uid="{00000000-0005-0000-0000-0000DA230000}"/>
    <cellStyle name="Normal 6 2 2 2 6 2" xfId="1490" xr:uid="{00000000-0005-0000-0000-0000DB230000}"/>
    <cellStyle name="Normal 6 2 2 2 6 2 2" xfId="10224" xr:uid="{00000000-0005-0000-0000-0000DC230000}"/>
    <cellStyle name="Normal 6 2 2 2 6 3" xfId="10008" xr:uid="{00000000-0005-0000-0000-0000DD230000}"/>
    <cellStyle name="Normal 6 2 2 2 7" xfId="1346" xr:uid="{00000000-0005-0000-0000-0000DE230000}"/>
    <cellStyle name="Normal 6 2 2 2 7 2" xfId="10080" xr:uid="{00000000-0005-0000-0000-0000DF230000}"/>
    <cellStyle name="Normal 6 2 2 2 8" xfId="9862" xr:uid="{00000000-0005-0000-0000-0000E0230000}"/>
    <cellStyle name="Normal 6 2 2 3" xfId="891" xr:uid="{00000000-0005-0000-0000-0000E1230000}"/>
    <cellStyle name="Normal 6 2 2 3 2" xfId="1204" xr:uid="{00000000-0005-0000-0000-0000E2230000}"/>
    <cellStyle name="Normal 6 2 2 3 2 2" xfId="1430" xr:uid="{00000000-0005-0000-0000-0000E3230000}"/>
    <cellStyle name="Normal 6 2 2 3 2 2 2" xfId="10164" xr:uid="{00000000-0005-0000-0000-0000E4230000}"/>
    <cellStyle name="Normal 6 2 2 3 2 3" xfId="9948" xr:uid="{00000000-0005-0000-0000-0000E5230000}"/>
    <cellStyle name="Normal 6 2 2 3 3" xfId="1286" xr:uid="{00000000-0005-0000-0000-0000E6230000}"/>
    <cellStyle name="Normal 6 2 2 3 3 2" xfId="1502" xr:uid="{00000000-0005-0000-0000-0000E7230000}"/>
    <cellStyle name="Normal 6 2 2 3 3 2 2" xfId="10236" xr:uid="{00000000-0005-0000-0000-0000E8230000}"/>
    <cellStyle name="Normal 6 2 2 3 3 3" xfId="10020" xr:uid="{00000000-0005-0000-0000-0000E9230000}"/>
    <cellStyle name="Normal 6 2 2 3 4" xfId="1358" xr:uid="{00000000-0005-0000-0000-0000EA230000}"/>
    <cellStyle name="Normal 6 2 2 3 4 2" xfId="10092" xr:uid="{00000000-0005-0000-0000-0000EB230000}"/>
    <cellStyle name="Normal 6 2 2 3 5" xfId="9876" xr:uid="{00000000-0005-0000-0000-0000EC230000}"/>
    <cellStyle name="Normal 6 2 2 4" xfId="933" xr:uid="{00000000-0005-0000-0000-0000ED230000}"/>
    <cellStyle name="Normal 6 2 2 4 2" xfId="1217" xr:uid="{00000000-0005-0000-0000-0000EE230000}"/>
    <cellStyle name="Normal 6 2 2 4 2 2" xfId="1443" xr:uid="{00000000-0005-0000-0000-0000EF230000}"/>
    <cellStyle name="Normal 6 2 2 4 2 2 2" xfId="10177" xr:uid="{00000000-0005-0000-0000-0000F0230000}"/>
    <cellStyle name="Normal 6 2 2 4 2 3" xfId="9961" xr:uid="{00000000-0005-0000-0000-0000F1230000}"/>
    <cellStyle name="Normal 6 2 2 4 3" xfId="1299" xr:uid="{00000000-0005-0000-0000-0000F2230000}"/>
    <cellStyle name="Normal 6 2 2 4 3 2" xfId="1515" xr:uid="{00000000-0005-0000-0000-0000F3230000}"/>
    <cellStyle name="Normal 6 2 2 4 3 2 2" xfId="10249" xr:uid="{00000000-0005-0000-0000-0000F4230000}"/>
    <cellStyle name="Normal 6 2 2 4 3 3" xfId="10033" xr:uid="{00000000-0005-0000-0000-0000F5230000}"/>
    <cellStyle name="Normal 6 2 2 4 4" xfId="1371" xr:uid="{00000000-0005-0000-0000-0000F6230000}"/>
    <cellStyle name="Normal 6 2 2 4 4 2" xfId="10105" xr:uid="{00000000-0005-0000-0000-0000F7230000}"/>
    <cellStyle name="Normal 6 2 2 4 5" xfId="9889" xr:uid="{00000000-0005-0000-0000-0000F8230000}"/>
    <cellStyle name="Normal 6 2 2 5" xfId="1151" xr:uid="{00000000-0005-0000-0000-0000F9230000}"/>
    <cellStyle name="Normal 6 2 2 5 2" xfId="1254" xr:uid="{00000000-0005-0000-0000-0000FA230000}"/>
    <cellStyle name="Normal 6 2 2 5 2 2" xfId="1470" xr:uid="{00000000-0005-0000-0000-0000FB230000}"/>
    <cellStyle name="Normal 6 2 2 5 2 2 2" xfId="10204" xr:uid="{00000000-0005-0000-0000-0000FC230000}"/>
    <cellStyle name="Normal 6 2 2 5 2 3" xfId="9988" xr:uid="{00000000-0005-0000-0000-0000FD230000}"/>
    <cellStyle name="Normal 6 2 2 5 3" xfId="1326" xr:uid="{00000000-0005-0000-0000-0000FE230000}"/>
    <cellStyle name="Normal 6 2 2 5 3 2" xfId="1542" xr:uid="{00000000-0005-0000-0000-0000FF230000}"/>
    <cellStyle name="Normal 6 2 2 5 3 2 2" xfId="10276" xr:uid="{00000000-0005-0000-0000-000000240000}"/>
    <cellStyle name="Normal 6 2 2 5 3 3" xfId="10060" xr:uid="{00000000-0005-0000-0000-000001240000}"/>
    <cellStyle name="Normal 6 2 2 5 4" xfId="1398" xr:uid="{00000000-0005-0000-0000-000002240000}"/>
    <cellStyle name="Normal 6 2 2 5 4 2" xfId="10132" xr:uid="{00000000-0005-0000-0000-000003240000}"/>
    <cellStyle name="Normal 6 2 2 5 5" xfId="9916" xr:uid="{00000000-0005-0000-0000-000004240000}"/>
    <cellStyle name="Normal 6 2 2 6" xfId="1190" xr:uid="{00000000-0005-0000-0000-000005240000}"/>
    <cellStyle name="Normal 6 2 2 6 2" xfId="1417" xr:uid="{00000000-0005-0000-0000-000006240000}"/>
    <cellStyle name="Normal 6 2 2 6 2 2" xfId="10151" xr:uid="{00000000-0005-0000-0000-000007240000}"/>
    <cellStyle name="Normal 6 2 2 6 3" xfId="9935" xr:uid="{00000000-0005-0000-0000-000008240000}"/>
    <cellStyle name="Normal 6 2 2 7" xfId="1273" xr:uid="{00000000-0005-0000-0000-000009240000}"/>
    <cellStyle name="Normal 6 2 2 7 2" xfId="1489" xr:uid="{00000000-0005-0000-0000-00000A240000}"/>
    <cellStyle name="Normal 6 2 2 7 2 2" xfId="10223" xr:uid="{00000000-0005-0000-0000-00000B240000}"/>
    <cellStyle name="Normal 6 2 2 7 3" xfId="10007" xr:uid="{00000000-0005-0000-0000-00000C240000}"/>
    <cellStyle name="Normal 6 2 2 8" xfId="1345" xr:uid="{00000000-0005-0000-0000-00000D240000}"/>
    <cellStyle name="Normal 6 2 2 8 2" xfId="10079" xr:uid="{00000000-0005-0000-0000-00000E240000}"/>
    <cellStyle name="Normal 6 2 2 9" xfId="9861" xr:uid="{00000000-0005-0000-0000-00000F240000}"/>
    <cellStyle name="Normal 6 2 3" xfId="739" xr:uid="{00000000-0005-0000-0000-000010240000}"/>
    <cellStyle name="Normal 6 2 3 2" xfId="893" xr:uid="{00000000-0005-0000-0000-000011240000}"/>
    <cellStyle name="Normal 6 2 3 2 2" xfId="1206" xr:uid="{00000000-0005-0000-0000-000012240000}"/>
    <cellStyle name="Normal 6 2 3 2 2 2" xfId="1432" xr:uid="{00000000-0005-0000-0000-000013240000}"/>
    <cellStyle name="Normal 6 2 3 2 2 2 2" xfId="10166" xr:uid="{00000000-0005-0000-0000-000014240000}"/>
    <cellStyle name="Normal 6 2 3 2 2 3" xfId="9950" xr:uid="{00000000-0005-0000-0000-000015240000}"/>
    <cellStyle name="Normal 6 2 3 2 3" xfId="1288" xr:uid="{00000000-0005-0000-0000-000016240000}"/>
    <cellStyle name="Normal 6 2 3 2 3 2" xfId="1504" xr:uid="{00000000-0005-0000-0000-000017240000}"/>
    <cellStyle name="Normal 6 2 3 2 3 2 2" xfId="10238" xr:uid="{00000000-0005-0000-0000-000018240000}"/>
    <cellStyle name="Normal 6 2 3 2 3 3" xfId="10022" xr:uid="{00000000-0005-0000-0000-000019240000}"/>
    <cellStyle name="Normal 6 2 3 2 4" xfId="1360" xr:uid="{00000000-0005-0000-0000-00001A240000}"/>
    <cellStyle name="Normal 6 2 3 2 4 2" xfId="10094" xr:uid="{00000000-0005-0000-0000-00001B240000}"/>
    <cellStyle name="Normal 6 2 3 2 5" xfId="9878" xr:uid="{00000000-0005-0000-0000-00001C240000}"/>
    <cellStyle name="Normal 6 2 3 3" xfId="935" xr:uid="{00000000-0005-0000-0000-00001D240000}"/>
    <cellStyle name="Normal 6 2 3 3 2" xfId="1219" xr:uid="{00000000-0005-0000-0000-00001E240000}"/>
    <cellStyle name="Normal 6 2 3 3 2 2" xfId="1445" xr:uid="{00000000-0005-0000-0000-00001F240000}"/>
    <cellStyle name="Normal 6 2 3 3 2 2 2" xfId="10179" xr:uid="{00000000-0005-0000-0000-000020240000}"/>
    <cellStyle name="Normal 6 2 3 3 2 3" xfId="9963" xr:uid="{00000000-0005-0000-0000-000021240000}"/>
    <cellStyle name="Normal 6 2 3 3 3" xfId="1301" xr:uid="{00000000-0005-0000-0000-000022240000}"/>
    <cellStyle name="Normal 6 2 3 3 3 2" xfId="1517" xr:uid="{00000000-0005-0000-0000-000023240000}"/>
    <cellStyle name="Normal 6 2 3 3 3 2 2" xfId="10251" xr:uid="{00000000-0005-0000-0000-000024240000}"/>
    <cellStyle name="Normal 6 2 3 3 3 3" xfId="10035" xr:uid="{00000000-0005-0000-0000-000025240000}"/>
    <cellStyle name="Normal 6 2 3 3 4" xfId="1373" xr:uid="{00000000-0005-0000-0000-000026240000}"/>
    <cellStyle name="Normal 6 2 3 3 4 2" xfId="10107" xr:uid="{00000000-0005-0000-0000-000027240000}"/>
    <cellStyle name="Normal 6 2 3 3 5" xfId="9891" xr:uid="{00000000-0005-0000-0000-000028240000}"/>
    <cellStyle name="Normal 6 2 3 4" xfId="1153" xr:uid="{00000000-0005-0000-0000-000029240000}"/>
    <cellStyle name="Normal 6 2 3 4 2" xfId="1256" xr:uid="{00000000-0005-0000-0000-00002A240000}"/>
    <cellStyle name="Normal 6 2 3 4 2 2" xfId="1472" xr:uid="{00000000-0005-0000-0000-00002B240000}"/>
    <cellStyle name="Normal 6 2 3 4 2 2 2" xfId="10206" xr:uid="{00000000-0005-0000-0000-00002C240000}"/>
    <cellStyle name="Normal 6 2 3 4 2 3" xfId="9990" xr:uid="{00000000-0005-0000-0000-00002D240000}"/>
    <cellStyle name="Normal 6 2 3 4 3" xfId="1328" xr:uid="{00000000-0005-0000-0000-00002E240000}"/>
    <cellStyle name="Normal 6 2 3 4 3 2" xfId="1544" xr:uid="{00000000-0005-0000-0000-00002F240000}"/>
    <cellStyle name="Normal 6 2 3 4 3 2 2" xfId="10278" xr:uid="{00000000-0005-0000-0000-000030240000}"/>
    <cellStyle name="Normal 6 2 3 4 3 3" xfId="10062" xr:uid="{00000000-0005-0000-0000-000031240000}"/>
    <cellStyle name="Normal 6 2 3 4 4" xfId="1400" xr:uid="{00000000-0005-0000-0000-000032240000}"/>
    <cellStyle name="Normal 6 2 3 4 4 2" xfId="10134" xr:uid="{00000000-0005-0000-0000-000033240000}"/>
    <cellStyle name="Normal 6 2 3 4 5" xfId="9918" xr:uid="{00000000-0005-0000-0000-000034240000}"/>
    <cellStyle name="Normal 6 2 3 5" xfId="1192" xr:uid="{00000000-0005-0000-0000-000035240000}"/>
    <cellStyle name="Normal 6 2 3 5 2" xfId="1419" xr:uid="{00000000-0005-0000-0000-000036240000}"/>
    <cellStyle name="Normal 6 2 3 5 2 2" xfId="10153" xr:uid="{00000000-0005-0000-0000-000037240000}"/>
    <cellStyle name="Normal 6 2 3 5 3" xfId="9937" xr:uid="{00000000-0005-0000-0000-000038240000}"/>
    <cellStyle name="Normal 6 2 3 6" xfId="1275" xr:uid="{00000000-0005-0000-0000-000039240000}"/>
    <cellStyle name="Normal 6 2 3 6 2" xfId="1491" xr:uid="{00000000-0005-0000-0000-00003A240000}"/>
    <cellStyle name="Normal 6 2 3 6 2 2" xfId="10225" xr:uid="{00000000-0005-0000-0000-00003B240000}"/>
    <cellStyle name="Normal 6 2 3 6 3" xfId="10009" xr:uid="{00000000-0005-0000-0000-00003C240000}"/>
    <cellStyle name="Normal 6 2 3 7" xfId="1347" xr:uid="{00000000-0005-0000-0000-00003D240000}"/>
    <cellStyle name="Normal 6 2 3 7 2" xfId="10081" xr:uid="{00000000-0005-0000-0000-00003E240000}"/>
    <cellStyle name="Normal 6 2 3 8" xfId="9863" xr:uid="{00000000-0005-0000-0000-00003F240000}"/>
    <cellStyle name="Normal 6 2 4" xfId="890" xr:uid="{00000000-0005-0000-0000-000040240000}"/>
    <cellStyle name="Normal 6 2 4 2" xfId="1203" xr:uid="{00000000-0005-0000-0000-000041240000}"/>
    <cellStyle name="Normal 6 2 4 2 2" xfId="1429" xr:uid="{00000000-0005-0000-0000-000042240000}"/>
    <cellStyle name="Normal 6 2 4 2 2 2" xfId="10163" xr:uid="{00000000-0005-0000-0000-000043240000}"/>
    <cellStyle name="Normal 6 2 4 2 3" xfId="9947" xr:uid="{00000000-0005-0000-0000-000044240000}"/>
    <cellStyle name="Normal 6 2 4 3" xfId="1285" xr:uid="{00000000-0005-0000-0000-000045240000}"/>
    <cellStyle name="Normal 6 2 4 3 2" xfId="1501" xr:uid="{00000000-0005-0000-0000-000046240000}"/>
    <cellStyle name="Normal 6 2 4 3 2 2" xfId="10235" xr:uid="{00000000-0005-0000-0000-000047240000}"/>
    <cellStyle name="Normal 6 2 4 3 3" xfId="10019" xr:uid="{00000000-0005-0000-0000-000048240000}"/>
    <cellStyle name="Normal 6 2 4 4" xfId="1357" xr:uid="{00000000-0005-0000-0000-000049240000}"/>
    <cellStyle name="Normal 6 2 4 4 2" xfId="10091" xr:uid="{00000000-0005-0000-0000-00004A240000}"/>
    <cellStyle name="Normal 6 2 4 5" xfId="9875" xr:uid="{00000000-0005-0000-0000-00004B240000}"/>
    <cellStyle name="Normal 6 2 5" xfId="932" xr:uid="{00000000-0005-0000-0000-00004C240000}"/>
    <cellStyle name="Normal 6 2 5 2" xfId="1216" xr:uid="{00000000-0005-0000-0000-00004D240000}"/>
    <cellStyle name="Normal 6 2 5 2 2" xfId="1442" xr:uid="{00000000-0005-0000-0000-00004E240000}"/>
    <cellStyle name="Normal 6 2 5 2 2 2" xfId="10176" xr:uid="{00000000-0005-0000-0000-00004F240000}"/>
    <cellStyle name="Normal 6 2 5 2 3" xfId="9960" xr:uid="{00000000-0005-0000-0000-000050240000}"/>
    <cellStyle name="Normal 6 2 5 3" xfId="1298" xr:uid="{00000000-0005-0000-0000-000051240000}"/>
    <cellStyle name="Normal 6 2 5 3 2" xfId="1514" xr:uid="{00000000-0005-0000-0000-000052240000}"/>
    <cellStyle name="Normal 6 2 5 3 2 2" xfId="10248" xr:uid="{00000000-0005-0000-0000-000053240000}"/>
    <cellStyle name="Normal 6 2 5 3 3" xfId="10032" xr:uid="{00000000-0005-0000-0000-000054240000}"/>
    <cellStyle name="Normal 6 2 5 4" xfId="1370" xr:uid="{00000000-0005-0000-0000-000055240000}"/>
    <cellStyle name="Normal 6 2 5 4 2" xfId="10104" xr:uid="{00000000-0005-0000-0000-000056240000}"/>
    <cellStyle name="Normal 6 2 5 5" xfId="9888" xr:uid="{00000000-0005-0000-0000-000057240000}"/>
    <cellStyle name="Normal 6 2 6" xfId="1150" xr:uid="{00000000-0005-0000-0000-000058240000}"/>
    <cellStyle name="Normal 6 2 6 2" xfId="1253" xr:uid="{00000000-0005-0000-0000-000059240000}"/>
    <cellStyle name="Normal 6 2 6 2 2" xfId="1469" xr:uid="{00000000-0005-0000-0000-00005A240000}"/>
    <cellStyle name="Normal 6 2 6 2 2 2" xfId="10203" xr:uid="{00000000-0005-0000-0000-00005B240000}"/>
    <cellStyle name="Normal 6 2 6 2 3" xfId="9987" xr:uid="{00000000-0005-0000-0000-00005C240000}"/>
    <cellStyle name="Normal 6 2 6 3" xfId="1325" xr:uid="{00000000-0005-0000-0000-00005D240000}"/>
    <cellStyle name="Normal 6 2 6 3 2" xfId="1541" xr:uid="{00000000-0005-0000-0000-00005E240000}"/>
    <cellStyle name="Normal 6 2 6 3 2 2" xfId="10275" xr:uid="{00000000-0005-0000-0000-00005F240000}"/>
    <cellStyle name="Normal 6 2 6 3 3" xfId="10059" xr:uid="{00000000-0005-0000-0000-000060240000}"/>
    <cellStyle name="Normal 6 2 6 4" xfId="1397" xr:uid="{00000000-0005-0000-0000-000061240000}"/>
    <cellStyle name="Normal 6 2 6 4 2" xfId="10131" xr:uid="{00000000-0005-0000-0000-000062240000}"/>
    <cellStyle name="Normal 6 2 6 5" xfId="9915" xr:uid="{00000000-0005-0000-0000-000063240000}"/>
    <cellStyle name="Normal 6 2 7" xfId="1189" xr:uid="{00000000-0005-0000-0000-000064240000}"/>
    <cellStyle name="Normal 6 2 7 2" xfId="1416" xr:uid="{00000000-0005-0000-0000-000065240000}"/>
    <cellStyle name="Normal 6 2 7 2 2" xfId="10150" xr:uid="{00000000-0005-0000-0000-000066240000}"/>
    <cellStyle name="Normal 6 2 7 3" xfId="9934" xr:uid="{00000000-0005-0000-0000-000067240000}"/>
    <cellStyle name="Normal 6 2 8" xfId="1272" xr:uid="{00000000-0005-0000-0000-000068240000}"/>
    <cellStyle name="Normal 6 2 8 2" xfId="1488" xr:uid="{00000000-0005-0000-0000-000069240000}"/>
    <cellStyle name="Normal 6 2 8 2 2" xfId="10222" xr:uid="{00000000-0005-0000-0000-00006A240000}"/>
    <cellStyle name="Normal 6 2 8 3" xfId="10006" xr:uid="{00000000-0005-0000-0000-00006B240000}"/>
    <cellStyle name="Normal 6 2 9" xfId="1344" xr:uid="{00000000-0005-0000-0000-00006C240000}"/>
    <cellStyle name="Normal 6 2 9 2" xfId="10078" xr:uid="{00000000-0005-0000-0000-00006D240000}"/>
    <cellStyle name="Normal 6 3" xfId="552" xr:uid="{00000000-0005-0000-0000-00006E240000}"/>
    <cellStyle name="Normal 6 3 10" xfId="740" xr:uid="{00000000-0005-0000-0000-00006F240000}"/>
    <cellStyle name="Normal 6 3 2" xfId="741" xr:uid="{00000000-0005-0000-0000-000070240000}"/>
    <cellStyle name="Normal 6 3 2 2" xfId="895" xr:uid="{00000000-0005-0000-0000-000071240000}"/>
    <cellStyle name="Normal 6 3 2 2 2" xfId="1208" xr:uid="{00000000-0005-0000-0000-000072240000}"/>
    <cellStyle name="Normal 6 3 2 2 2 2" xfId="1434" xr:uid="{00000000-0005-0000-0000-000073240000}"/>
    <cellStyle name="Normal 6 3 2 2 2 2 2" xfId="10168" xr:uid="{00000000-0005-0000-0000-000074240000}"/>
    <cellStyle name="Normal 6 3 2 2 2 3" xfId="9952" xr:uid="{00000000-0005-0000-0000-000075240000}"/>
    <cellStyle name="Normal 6 3 2 2 3" xfId="1290" xr:uid="{00000000-0005-0000-0000-000076240000}"/>
    <cellStyle name="Normal 6 3 2 2 3 2" xfId="1506" xr:uid="{00000000-0005-0000-0000-000077240000}"/>
    <cellStyle name="Normal 6 3 2 2 3 2 2" xfId="10240" xr:uid="{00000000-0005-0000-0000-000078240000}"/>
    <cellStyle name="Normal 6 3 2 2 3 3" xfId="10024" xr:uid="{00000000-0005-0000-0000-000079240000}"/>
    <cellStyle name="Normal 6 3 2 2 4" xfId="1362" xr:uid="{00000000-0005-0000-0000-00007A240000}"/>
    <cellStyle name="Normal 6 3 2 2 4 2" xfId="10096" xr:uid="{00000000-0005-0000-0000-00007B240000}"/>
    <cellStyle name="Normal 6 3 2 2 5" xfId="9880" xr:uid="{00000000-0005-0000-0000-00007C240000}"/>
    <cellStyle name="Normal 6 3 2 3" xfId="937" xr:uid="{00000000-0005-0000-0000-00007D240000}"/>
    <cellStyle name="Normal 6 3 2 3 2" xfId="1221" xr:uid="{00000000-0005-0000-0000-00007E240000}"/>
    <cellStyle name="Normal 6 3 2 3 2 2" xfId="1447" xr:uid="{00000000-0005-0000-0000-00007F240000}"/>
    <cellStyle name="Normal 6 3 2 3 2 2 2" xfId="10181" xr:uid="{00000000-0005-0000-0000-000080240000}"/>
    <cellStyle name="Normal 6 3 2 3 2 3" xfId="9965" xr:uid="{00000000-0005-0000-0000-000081240000}"/>
    <cellStyle name="Normal 6 3 2 3 3" xfId="1303" xr:uid="{00000000-0005-0000-0000-000082240000}"/>
    <cellStyle name="Normal 6 3 2 3 3 2" xfId="1519" xr:uid="{00000000-0005-0000-0000-000083240000}"/>
    <cellStyle name="Normal 6 3 2 3 3 2 2" xfId="10253" xr:uid="{00000000-0005-0000-0000-000084240000}"/>
    <cellStyle name="Normal 6 3 2 3 3 3" xfId="10037" xr:uid="{00000000-0005-0000-0000-000085240000}"/>
    <cellStyle name="Normal 6 3 2 3 4" xfId="1375" xr:uid="{00000000-0005-0000-0000-000086240000}"/>
    <cellStyle name="Normal 6 3 2 3 4 2" xfId="10109" xr:uid="{00000000-0005-0000-0000-000087240000}"/>
    <cellStyle name="Normal 6 3 2 3 5" xfId="9893" xr:uid="{00000000-0005-0000-0000-000088240000}"/>
    <cellStyle name="Normal 6 3 2 4" xfId="1155" xr:uid="{00000000-0005-0000-0000-000089240000}"/>
    <cellStyle name="Normal 6 3 2 4 2" xfId="1258" xr:uid="{00000000-0005-0000-0000-00008A240000}"/>
    <cellStyle name="Normal 6 3 2 4 2 2" xfId="1474" xr:uid="{00000000-0005-0000-0000-00008B240000}"/>
    <cellStyle name="Normal 6 3 2 4 2 2 2" xfId="10208" xr:uid="{00000000-0005-0000-0000-00008C240000}"/>
    <cellStyle name="Normal 6 3 2 4 2 3" xfId="9992" xr:uid="{00000000-0005-0000-0000-00008D240000}"/>
    <cellStyle name="Normal 6 3 2 4 3" xfId="1330" xr:uid="{00000000-0005-0000-0000-00008E240000}"/>
    <cellStyle name="Normal 6 3 2 4 3 2" xfId="1546" xr:uid="{00000000-0005-0000-0000-00008F240000}"/>
    <cellStyle name="Normal 6 3 2 4 3 2 2" xfId="10280" xr:uid="{00000000-0005-0000-0000-000090240000}"/>
    <cellStyle name="Normal 6 3 2 4 3 3" xfId="10064" xr:uid="{00000000-0005-0000-0000-000091240000}"/>
    <cellStyle name="Normal 6 3 2 4 4" xfId="1402" xr:uid="{00000000-0005-0000-0000-000092240000}"/>
    <cellStyle name="Normal 6 3 2 4 4 2" xfId="10136" xr:uid="{00000000-0005-0000-0000-000093240000}"/>
    <cellStyle name="Normal 6 3 2 4 5" xfId="9920" xr:uid="{00000000-0005-0000-0000-000094240000}"/>
    <cellStyle name="Normal 6 3 2 5" xfId="1194" xr:uid="{00000000-0005-0000-0000-000095240000}"/>
    <cellStyle name="Normal 6 3 2 5 2" xfId="1421" xr:uid="{00000000-0005-0000-0000-000096240000}"/>
    <cellStyle name="Normal 6 3 2 5 2 2" xfId="10155" xr:uid="{00000000-0005-0000-0000-000097240000}"/>
    <cellStyle name="Normal 6 3 2 5 3" xfId="9939" xr:uid="{00000000-0005-0000-0000-000098240000}"/>
    <cellStyle name="Normal 6 3 2 6" xfId="1277" xr:uid="{00000000-0005-0000-0000-000099240000}"/>
    <cellStyle name="Normal 6 3 2 6 2" xfId="1493" xr:uid="{00000000-0005-0000-0000-00009A240000}"/>
    <cellStyle name="Normal 6 3 2 6 2 2" xfId="10227" xr:uid="{00000000-0005-0000-0000-00009B240000}"/>
    <cellStyle name="Normal 6 3 2 6 3" xfId="10011" xr:uid="{00000000-0005-0000-0000-00009C240000}"/>
    <cellStyle name="Normal 6 3 2 7" xfId="1349" xr:uid="{00000000-0005-0000-0000-00009D240000}"/>
    <cellStyle name="Normal 6 3 2 7 2" xfId="10083" xr:uid="{00000000-0005-0000-0000-00009E240000}"/>
    <cellStyle name="Normal 6 3 2 8" xfId="9865" xr:uid="{00000000-0005-0000-0000-00009F240000}"/>
    <cellStyle name="Normal 6 3 3" xfId="894" xr:uid="{00000000-0005-0000-0000-0000A0240000}"/>
    <cellStyle name="Normal 6 3 3 2" xfId="1207" xr:uid="{00000000-0005-0000-0000-0000A1240000}"/>
    <cellStyle name="Normal 6 3 3 2 2" xfId="1433" xr:uid="{00000000-0005-0000-0000-0000A2240000}"/>
    <cellStyle name="Normal 6 3 3 2 2 2" xfId="10167" xr:uid="{00000000-0005-0000-0000-0000A3240000}"/>
    <cellStyle name="Normal 6 3 3 2 3" xfId="9951" xr:uid="{00000000-0005-0000-0000-0000A4240000}"/>
    <cellStyle name="Normal 6 3 3 3" xfId="1289" xr:uid="{00000000-0005-0000-0000-0000A5240000}"/>
    <cellStyle name="Normal 6 3 3 3 2" xfId="1505" xr:uid="{00000000-0005-0000-0000-0000A6240000}"/>
    <cellStyle name="Normal 6 3 3 3 2 2" xfId="10239" xr:uid="{00000000-0005-0000-0000-0000A7240000}"/>
    <cellStyle name="Normal 6 3 3 3 3" xfId="10023" xr:uid="{00000000-0005-0000-0000-0000A8240000}"/>
    <cellStyle name="Normal 6 3 3 4" xfId="1361" xr:uid="{00000000-0005-0000-0000-0000A9240000}"/>
    <cellStyle name="Normal 6 3 3 4 2" xfId="10095" xr:uid="{00000000-0005-0000-0000-0000AA240000}"/>
    <cellStyle name="Normal 6 3 3 5" xfId="9879" xr:uid="{00000000-0005-0000-0000-0000AB240000}"/>
    <cellStyle name="Normal 6 3 4" xfId="936" xr:uid="{00000000-0005-0000-0000-0000AC240000}"/>
    <cellStyle name="Normal 6 3 4 2" xfId="1220" xr:uid="{00000000-0005-0000-0000-0000AD240000}"/>
    <cellStyle name="Normal 6 3 4 2 2" xfId="1446" xr:uid="{00000000-0005-0000-0000-0000AE240000}"/>
    <cellStyle name="Normal 6 3 4 2 2 2" xfId="10180" xr:uid="{00000000-0005-0000-0000-0000AF240000}"/>
    <cellStyle name="Normal 6 3 4 2 3" xfId="9964" xr:uid="{00000000-0005-0000-0000-0000B0240000}"/>
    <cellStyle name="Normal 6 3 4 3" xfId="1302" xr:uid="{00000000-0005-0000-0000-0000B1240000}"/>
    <cellStyle name="Normal 6 3 4 3 2" xfId="1518" xr:uid="{00000000-0005-0000-0000-0000B2240000}"/>
    <cellStyle name="Normal 6 3 4 3 2 2" xfId="10252" xr:uid="{00000000-0005-0000-0000-0000B3240000}"/>
    <cellStyle name="Normal 6 3 4 3 3" xfId="10036" xr:uid="{00000000-0005-0000-0000-0000B4240000}"/>
    <cellStyle name="Normal 6 3 4 4" xfId="1374" xr:uid="{00000000-0005-0000-0000-0000B5240000}"/>
    <cellStyle name="Normal 6 3 4 4 2" xfId="10108" xr:uid="{00000000-0005-0000-0000-0000B6240000}"/>
    <cellStyle name="Normal 6 3 4 5" xfId="9892" xr:uid="{00000000-0005-0000-0000-0000B7240000}"/>
    <cellStyle name="Normal 6 3 5" xfId="1154" xr:uid="{00000000-0005-0000-0000-0000B8240000}"/>
    <cellStyle name="Normal 6 3 5 2" xfId="1257" xr:uid="{00000000-0005-0000-0000-0000B9240000}"/>
    <cellStyle name="Normal 6 3 5 2 2" xfId="1473" xr:uid="{00000000-0005-0000-0000-0000BA240000}"/>
    <cellStyle name="Normal 6 3 5 2 2 2" xfId="10207" xr:uid="{00000000-0005-0000-0000-0000BB240000}"/>
    <cellStyle name="Normal 6 3 5 2 3" xfId="9991" xr:uid="{00000000-0005-0000-0000-0000BC240000}"/>
    <cellStyle name="Normal 6 3 5 3" xfId="1329" xr:uid="{00000000-0005-0000-0000-0000BD240000}"/>
    <cellStyle name="Normal 6 3 5 3 2" xfId="1545" xr:uid="{00000000-0005-0000-0000-0000BE240000}"/>
    <cellStyle name="Normal 6 3 5 3 2 2" xfId="10279" xr:uid="{00000000-0005-0000-0000-0000BF240000}"/>
    <cellStyle name="Normal 6 3 5 3 3" xfId="10063" xr:uid="{00000000-0005-0000-0000-0000C0240000}"/>
    <cellStyle name="Normal 6 3 5 4" xfId="1401" xr:uid="{00000000-0005-0000-0000-0000C1240000}"/>
    <cellStyle name="Normal 6 3 5 4 2" xfId="10135" xr:uid="{00000000-0005-0000-0000-0000C2240000}"/>
    <cellStyle name="Normal 6 3 5 5" xfId="9919" xr:uid="{00000000-0005-0000-0000-0000C3240000}"/>
    <cellStyle name="Normal 6 3 6" xfId="1193" xr:uid="{00000000-0005-0000-0000-0000C4240000}"/>
    <cellStyle name="Normal 6 3 6 2" xfId="1420" xr:uid="{00000000-0005-0000-0000-0000C5240000}"/>
    <cellStyle name="Normal 6 3 6 2 2" xfId="10154" xr:uid="{00000000-0005-0000-0000-0000C6240000}"/>
    <cellStyle name="Normal 6 3 6 3" xfId="9938" xr:uid="{00000000-0005-0000-0000-0000C7240000}"/>
    <cellStyle name="Normal 6 3 7" xfId="1276" xr:uid="{00000000-0005-0000-0000-0000C8240000}"/>
    <cellStyle name="Normal 6 3 7 2" xfId="1492" xr:uid="{00000000-0005-0000-0000-0000C9240000}"/>
    <cellStyle name="Normal 6 3 7 2 2" xfId="10226" xr:uid="{00000000-0005-0000-0000-0000CA240000}"/>
    <cellStyle name="Normal 6 3 7 3" xfId="10010" xr:uid="{00000000-0005-0000-0000-0000CB240000}"/>
    <cellStyle name="Normal 6 3 8" xfId="1348" xr:uid="{00000000-0005-0000-0000-0000CC240000}"/>
    <cellStyle name="Normal 6 3 8 2" xfId="10082" xr:uid="{00000000-0005-0000-0000-0000CD240000}"/>
    <cellStyle name="Normal 6 3 9" xfId="9864" xr:uid="{00000000-0005-0000-0000-0000CE240000}"/>
    <cellStyle name="Normal 6 4" xfId="742" xr:uid="{00000000-0005-0000-0000-0000CF240000}"/>
    <cellStyle name="Normal 6 4 2" xfId="896" xr:uid="{00000000-0005-0000-0000-0000D0240000}"/>
    <cellStyle name="Normal 6 4 2 2" xfId="1209" xr:uid="{00000000-0005-0000-0000-0000D1240000}"/>
    <cellStyle name="Normal 6 4 2 2 2" xfId="1435" xr:uid="{00000000-0005-0000-0000-0000D2240000}"/>
    <cellStyle name="Normal 6 4 2 2 2 2" xfId="10169" xr:uid="{00000000-0005-0000-0000-0000D3240000}"/>
    <cellStyle name="Normal 6 4 2 2 3" xfId="9953" xr:uid="{00000000-0005-0000-0000-0000D4240000}"/>
    <cellStyle name="Normal 6 4 2 3" xfId="1291" xr:uid="{00000000-0005-0000-0000-0000D5240000}"/>
    <cellStyle name="Normal 6 4 2 3 2" xfId="1507" xr:uid="{00000000-0005-0000-0000-0000D6240000}"/>
    <cellStyle name="Normal 6 4 2 3 2 2" xfId="10241" xr:uid="{00000000-0005-0000-0000-0000D7240000}"/>
    <cellStyle name="Normal 6 4 2 3 3" xfId="10025" xr:uid="{00000000-0005-0000-0000-0000D8240000}"/>
    <cellStyle name="Normal 6 4 2 4" xfId="1363" xr:uid="{00000000-0005-0000-0000-0000D9240000}"/>
    <cellStyle name="Normal 6 4 2 4 2" xfId="10097" xr:uid="{00000000-0005-0000-0000-0000DA240000}"/>
    <cellStyle name="Normal 6 4 2 5" xfId="9881" xr:uid="{00000000-0005-0000-0000-0000DB240000}"/>
    <cellStyle name="Normal 6 4 3" xfId="938" xr:uid="{00000000-0005-0000-0000-0000DC240000}"/>
    <cellStyle name="Normal 6 4 3 2" xfId="1222" xr:uid="{00000000-0005-0000-0000-0000DD240000}"/>
    <cellStyle name="Normal 6 4 3 2 2" xfId="1448" xr:uid="{00000000-0005-0000-0000-0000DE240000}"/>
    <cellStyle name="Normal 6 4 3 2 2 2" xfId="10182" xr:uid="{00000000-0005-0000-0000-0000DF240000}"/>
    <cellStyle name="Normal 6 4 3 2 3" xfId="9966" xr:uid="{00000000-0005-0000-0000-0000E0240000}"/>
    <cellStyle name="Normal 6 4 3 3" xfId="1304" xr:uid="{00000000-0005-0000-0000-0000E1240000}"/>
    <cellStyle name="Normal 6 4 3 3 2" xfId="1520" xr:uid="{00000000-0005-0000-0000-0000E2240000}"/>
    <cellStyle name="Normal 6 4 3 3 2 2" xfId="10254" xr:uid="{00000000-0005-0000-0000-0000E3240000}"/>
    <cellStyle name="Normal 6 4 3 3 3" xfId="10038" xr:uid="{00000000-0005-0000-0000-0000E4240000}"/>
    <cellStyle name="Normal 6 4 3 4" xfId="1376" xr:uid="{00000000-0005-0000-0000-0000E5240000}"/>
    <cellStyle name="Normal 6 4 3 4 2" xfId="10110" xr:uid="{00000000-0005-0000-0000-0000E6240000}"/>
    <cellStyle name="Normal 6 4 3 5" xfId="9894" xr:uid="{00000000-0005-0000-0000-0000E7240000}"/>
    <cellStyle name="Normal 6 4 4" xfId="1156" xr:uid="{00000000-0005-0000-0000-0000E8240000}"/>
    <cellStyle name="Normal 6 4 4 2" xfId="1259" xr:uid="{00000000-0005-0000-0000-0000E9240000}"/>
    <cellStyle name="Normal 6 4 4 2 2" xfId="1475" xr:uid="{00000000-0005-0000-0000-0000EA240000}"/>
    <cellStyle name="Normal 6 4 4 2 2 2" xfId="10209" xr:uid="{00000000-0005-0000-0000-0000EB240000}"/>
    <cellStyle name="Normal 6 4 4 2 3" xfId="9993" xr:uid="{00000000-0005-0000-0000-0000EC240000}"/>
    <cellStyle name="Normal 6 4 4 3" xfId="1331" xr:uid="{00000000-0005-0000-0000-0000ED240000}"/>
    <cellStyle name="Normal 6 4 4 3 2" xfId="1547" xr:uid="{00000000-0005-0000-0000-0000EE240000}"/>
    <cellStyle name="Normal 6 4 4 3 2 2" xfId="10281" xr:uid="{00000000-0005-0000-0000-0000EF240000}"/>
    <cellStyle name="Normal 6 4 4 3 3" xfId="10065" xr:uid="{00000000-0005-0000-0000-0000F0240000}"/>
    <cellStyle name="Normal 6 4 4 4" xfId="1403" xr:uid="{00000000-0005-0000-0000-0000F1240000}"/>
    <cellStyle name="Normal 6 4 4 4 2" xfId="10137" xr:uid="{00000000-0005-0000-0000-0000F2240000}"/>
    <cellStyle name="Normal 6 4 4 5" xfId="9921" xr:uid="{00000000-0005-0000-0000-0000F3240000}"/>
    <cellStyle name="Normal 6 4 5" xfId="1195" xr:uid="{00000000-0005-0000-0000-0000F4240000}"/>
    <cellStyle name="Normal 6 4 5 2" xfId="1422" xr:uid="{00000000-0005-0000-0000-0000F5240000}"/>
    <cellStyle name="Normal 6 4 5 2 2" xfId="10156" xr:uid="{00000000-0005-0000-0000-0000F6240000}"/>
    <cellStyle name="Normal 6 4 5 3" xfId="9940" xr:uid="{00000000-0005-0000-0000-0000F7240000}"/>
    <cellStyle name="Normal 6 4 6" xfId="1278" xr:uid="{00000000-0005-0000-0000-0000F8240000}"/>
    <cellStyle name="Normal 6 4 6 2" xfId="1494" xr:uid="{00000000-0005-0000-0000-0000F9240000}"/>
    <cellStyle name="Normal 6 4 6 2 2" xfId="10228" xr:uid="{00000000-0005-0000-0000-0000FA240000}"/>
    <cellStyle name="Normal 6 4 6 3" xfId="10012" xr:uid="{00000000-0005-0000-0000-0000FB240000}"/>
    <cellStyle name="Normal 6 4 7" xfId="1350" xr:uid="{00000000-0005-0000-0000-0000FC240000}"/>
    <cellStyle name="Normal 6 4 7 2" xfId="10084" xr:uid="{00000000-0005-0000-0000-0000FD240000}"/>
    <cellStyle name="Normal 6 4 8" xfId="9866" xr:uid="{00000000-0005-0000-0000-0000FE240000}"/>
    <cellStyle name="Normal 6 5" xfId="889" xr:uid="{00000000-0005-0000-0000-0000FF240000}"/>
    <cellStyle name="Normal 6 5 2" xfId="1202" xr:uid="{00000000-0005-0000-0000-000000250000}"/>
    <cellStyle name="Normal 6 5 2 2" xfId="1428" xr:uid="{00000000-0005-0000-0000-000001250000}"/>
    <cellStyle name="Normal 6 5 2 2 2" xfId="10162" xr:uid="{00000000-0005-0000-0000-000002250000}"/>
    <cellStyle name="Normal 6 5 2 3" xfId="9946" xr:uid="{00000000-0005-0000-0000-000003250000}"/>
    <cellStyle name="Normal 6 5 3" xfId="1284" xr:uid="{00000000-0005-0000-0000-000004250000}"/>
    <cellStyle name="Normal 6 5 3 2" xfId="1500" xr:uid="{00000000-0005-0000-0000-000005250000}"/>
    <cellStyle name="Normal 6 5 3 2 2" xfId="10234" xr:uid="{00000000-0005-0000-0000-000006250000}"/>
    <cellStyle name="Normal 6 5 3 3" xfId="10018" xr:uid="{00000000-0005-0000-0000-000007250000}"/>
    <cellStyle name="Normal 6 5 4" xfId="1356" xr:uid="{00000000-0005-0000-0000-000008250000}"/>
    <cellStyle name="Normal 6 5 4 2" xfId="10090" xr:uid="{00000000-0005-0000-0000-000009250000}"/>
    <cellStyle name="Normal 6 5 5" xfId="9874" xr:uid="{00000000-0005-0000-0000-00000A250000}"/>
    <cellStyle name="Normal 6 6" xfId="931" xr:uid="{00000000-0005-0000-0000-00000B250000}"/>
    <cellStyle name="Normal 6 6 2" xfId="1215" xr:uid="{00000000-0005-0000-0000-00000C250000}"/>
    <cellStyle name="Normal 6 6 2 2" xfId="1441" xr:uid="{00000000-0005-0000-0000-00000D250000}"/>
    <cellStyle name="Normal 6 6 2 2 2" xfId="10175" xr:uid="{00000000-0005-0000-0000-00000E250000}"/>
    <cellStyle name="Normal 6 6 2 3" xfId="9959" xr:uid="{00000000-0005-0000-0000-00000F250000}"/>
    <cellStyle name="Normal 6 6 3" xfId="1297" xr:uid="{00000000-0005-0000-0000-000010250000}"/>
    <cellStyle name="Normal 6 6 3 2" xfId="1513" xr:uid="{00000000-0005-0000-0000-000011250000}"/>
    <cellStyle name="Normal 6 6 3 2 2" xfId="10247" xr:uid="{00000000-0005-0000-0000-000012250000}"/>
    <cellStyle name="Normal 6 6 3 3" xfId="10031" xr:uid="{00000000-0005-0000-0000-000013250000}"/>
    <cellStyle name="Normal 6 6 4" xfId="1369" xr:uid="{00000000-0005-0000-0000-000014250000}"/>
    <cellStyle name="Normal 6 6 4 2" xfId="10103" xr:uid="{00000000-0005-0000-0000-000015250000}"/>
    <cellStyle name="Normal 6 6 5" xfId="9887" xr:uid="{00000000-0005-0000-0000-000016250000}"/>
    <cellStyle name="Normal 6 7" xfId="1125" xr:uid="{00000000-0005-0000-0000-000017250000}"/>
    <cellStyle name="Normal 6 8" xfId="1149" xr:uid="{00000000-0005-0000-0000-000018250000}"/>
    <cellStyle name="Normal 6 8 2" xfId="1252" xr:uid="{00000000-0005-0000-0000-000019250000}"/>
    <cellStyle name="Normal 6 8 2 2" xfId="1468" xr:uid="{00000000-0005-0000-0000-00001A250000}"/>
    <cellStyle name="Normal 6 8 2 2 2" xfId="10202" xr:uid="{00000000-0005-0000-0000-00001B250000}"/>
    <cellStyle name="Normal 6 8 2 3" xfId="9986" xr:uid="{00000000-0005-0000-0000-00001C250000}"/>
    <cellStyle name="Normal 6 8 3" xfId="1324" xr:uid="{00000000-0005-0000-0000-00001D250000}"/>
    <cellStyle name="Normal 6 8 3 2" xfId="1540" xr:uid="{00000000-0005-0000-0000-00001E250000}"/>
    <cellStyle name="Normal 6 8 3 2 2" xfId="10274" xr:uid="{00000000-0005-0000-0000-00001F250000}"/>
    <cellStyle name="Normal 6 8 3 3" xfId="10058" xr:uid="{00000000-0005-0000-0000-000020250000}"/>
    <cellStyle name="Normal 6 8 4" xfId="1396" xr:uid="{00000000-0005-0000-0000-000021250000}"/>
    <cellStyle name="Normal 6 8 4 2" xfId="10130" xr:uid="{00000000-0005-0000-0000-000022250000}"/>
    <cellStyle name="Normal 6 8 5" xfId="9914" xr:uid="{00000000-0005-0000-0000-000023250000}"/>
    <cellStyle name="Normal 6 9" xfId="1188" xr:uid="{00000000-0005-0000-0000-000024250000}"/>
    <cellStyle name="Normal 6 9 2" xfId="1415" xr:uid="{00000000-0005-0000-0000-000025250000}"/>
    <cellStyle name="Normal 6 9 2 2" xfId="10149" xr:uid="{00000000-0005-0000-0000-000026250000}"/>
    <cellStyle name="Normal 6 9 3" xfId="9933" xr:uid="{00000000-0005-0000-0000-000027250000}"/>
    <cellStyle name="Normal 68" xfId="39" xr:uid="{00000000-0005-0000-0000-000028250000}"/>
    <cellStyle name="Normal 7" xfId="345" xr:uid="{00000000-0005-0000-0000-000029250000}"/>
    <cellStyle name="Normal 7 2" xfId="540" xr:uid="{00000000-0005-0000-0000-00002A250000}"/>
    <cellStyle name="Normal 7 2 2" xfId="9605" xr:uid="{00000000-0005-0000-0000-00002B250000}"/>
    <cellStyle name="Normal 7 2 2 2" xfId="9606" xr:uid="{00000000-0005-0000-0000-00002C250000}"/>
    <cellStyle name="Normal 7 2 2 2 2" xfId="9607" xr:uid="{00000000-0005-0000-0000-00002D250000}"/>
    <cellStyle name="Normal 7 2 2 2 3" xfId="9608" xr:uid="{00000000-0005-0000-0000-00002E250000}"/>
    <cellStyle name="Normal 7 2 2 3" xfId="9609" xr:uid="{00000000-0005-0000-0000-00002F250000}"/>
    <cellStyle name="Normal 7 2 2 4" xfId="9610" xr:uid="{00000000-0005-0000-0000-000030250000}"/>
    <cellStyle name="Normal 7 2 2 5" xfId="9611" xr:uid="{00000000-0005-0000-0000-000031250000}"/>
    <cellStyle name="Normal 7 2 3" xfId="965" xr:uid="{00000000-0005-0000-0000-000032250000}"/>
    <cellStyle name="Normal 7 3" xfId="9612" xr:uid="{00000000-0005-0000-0000-000033250000}"/>
    <cellStyle name="Normal 7 3 2" xfId="9613" xr:uid="{00000000-0005-0000-0000-000034250000}"/>
    <cellStyle name="Normal 7 3 2 2" xfId="9614" xr:uid="{00000000-0005-0000-0000-000035250000}"/>
    <cellStyle name="Normal 7 3 2 3" xfId="9615" xr:uid="{00000000-0005-0000-0000-000036250000}"/>
    <cellStyle name="Normal 7 3 3" xfId="9616" xr:uid="{00000000-0005-0000-0000-000037250000}"/>
    <cellStyle name="Normal 7 3 4" xfId="9617" xr:uid="{00000000-0005-0000-0000-000038250000}"/>
    <cellStyle name="Normal 7 3 5" xfId="9618" xr:uid="{00000000-0005-0000-0000-000039250000}"/>
    <cellStyle name="Normal 7 4" xfId="9619" xr:uid="{00000000-0005-0000-0000-00003A250000}"/>
    <cellStyle name="Normal 7 5" xfId="743" xr:uid="{00000000-0005-0000-0000-00003B250000}"/>
    <cellStyle name="Normal 76" xfId="521" xr:uid="{00000000-0005-0000-0000-00003C250000}"/>
    <cellStyle name="Normal 8" xfId="346" xr:uid="{00000000-0005-0000-0000-00003D250000}"/>
    <cellStyle name="Normal 8 10" xfId="964" xr:uid="{00000000-0005-0000-0000-00003E250000}"/>
    <cellStyle name="Normal 8 10 2" xfId="963" xr:uid="{00000000-0005-0000-0000-00003F250000}"/>
    <cellStyle name="Normal 8 11" xfId="962" xr:uid="{00000000-0005-0000-0000-000040250000}"/>
    <cellStyle name="Normal 8 12" xfId="961" xr:uid="{00000000-0005-0000-0000-000041250000}"/>
    <cellStyle name="Normal 8 13" xfId="1157" xr:uid="{00000000-0005-0000-0000-000042250000}"/>
    <cellStyle name="Normal 8 13 2" xfId="1260" xr:uid="{00000000-0005-0000-0000-000043250000}"/>
    <cellStyle name="Normal 8 13 2 2" xfId="1476" xr:uid="{00000000-0005-0000-0000-000044250000}"/>
    <cellStyle name="Normal 8 13 2 2 2" xfId="10210" xr:uid="{00000000-0005-0000-0000-000045250000}"/>
    <cellStyle name="Normal 8 13 2 3" xfId="9994" xr:uid="{00000000-0005-0000-0000-000046250000}"/>
    <cellStyle name="Normal 8 13 3" xfId="1332" xr:uid="{00000000-0005-0000-0000-000047250000}"/>
    <cellStyle name="Normal 8 13 3 2" xfId="1548" xr:uid="{00000000-0005-0000-0000-000048250000}"/>
    <cellStyle name="Normal 8 13 3 2 2" xfId="10282" xr:uid="{00000000-0005-0000-0000-000049250000}"/>
    <cellStyle name="Normal 8 13 3 3" xfId="10066" xr:uid="{00000000-0005-0000-0000-00004A250000}"/>
    <cellStyle name="Normal 8 13 4" xfId="1404" xr:uid="{00000000-0005-0000-0000-00004B250000}"/>
    <cellStyle name="Normal 8 13 4 2" xfId="10138" xr:uid="{00000000-0005-0000-0000-00004C250000}"/>
    <cellStyle name="Normal 8 13 5" xfId="9922" xr:uid="{00000000-0005-0000-0000-00004D250000}"/>
    <cellStyle name="Normal 8 14" xfId="1196" xr:uid="{00000000-0005-0000-0000-00004E250000}"/>
    <cellStyle name="Normal 8 14 2" xfId="1423" xr:uid="{00000000-0005-0000-0000-00004F250000}"/>
    <cellStyle name="Normal 8 14 2 2" xfId="10157" xr:uid="{00000000-0005-0000-0000-000050250000}"/>
    <cellStyle name="Normal 8 14 3" xfId="9941" xr:uid="{00000000-0005-0000-0000-000051250000}"/>
    <cellStyle name="Normal 8 15" xfId="1279" xr:uid="{00000000-0005-0000-0000-000052250000}"/>
    <cellStyle name="Normal 8 15 2" xfId="1495" xr:uid="{00000000-0005-0000-0000-000053250000}"/>
    <cellStyle name="Normal 8 15 2 2" xfId="10229" xr:uid="{00000000-0005-0000-0000-000054250000}"/>
    <cellStyle name="Normal 8 15 3" xfId="10013" xr:uid="{00000000-0005-0000-0000-000055250000}"/>
    <cellStyle name="Normal 8 16" xfId="1351" xr:uid="{00000000-0005-0000-0000-000056250000}"/>
    <cellStyle name="Normal 8 16 2" xfId="10085" xr:uid="{00000000-0005-0000-0000-000057250000}"/>
    <cellStyle name="Normal 8 17" xfId="9867" xr:uid="{00000000-0005-0000-0000-000058250000}"/>
    <cellStyle name="Normal 8 18" xfId="744" xr:uid="{00000000-0005-0000-0000-000059250000}"/>
    <cellStyle name="Normal 8 2" xfId="745" xr:uid="{00000000-0005-0000-0000-00005A250000}"/>
    <cellStyle name="Normal 8 2 10" xfId="1352" xr:uid="{00000000-0005-0000-0000-00005B250000}"/>
    <cellStyle name="Normal 8 2 10 2" xfId="10086" xr:uid="{00000000-0005-0000-0000-00005C250000}"/>
    <cellStyle name="Normal 8 2 11" xfId="9868" xr:uid="{00000000-0005-0000-0000-00005D250000}"/>
    <cellStyle name="Normal 8 2 2" xfId="898" xr:uid="{00000000-0005-0000-0000-00005E250000}"/>
    <cellStyle name="Normal 8 2 2 2" xfId="960" xr:uid="{00000000-0005-0000-0000-00005F250000}"/>
    <cellStyle name="Normal 8 2 2 3" xfId="1211" xr:uid="{00000000-0005-0000-0000-000060250000}"/>
    <cellStyle name="Normal 8 2 2 3 2" xfId="1437" xr:uid="{00000000-0005-0000-0000-000061250000}"/>
    <cellStyle name="Normal 8 2 2 3 2 2" xfId="10171" xr:uid="{00000000-0005-0000-0000-000062250000}"/>
    <cellStyle name="Normal 8 2 2 3 3" xfId="9955" xr:uid="{00000000-0005-0000-0000-000063250000}"/>
    <cellStyle name="Normal 8 2 2 4" xfId="1293" xr:uid="{00000000-0005-0000-0000-000064250000}"/>
    <cellStyle name="Normal 8 2 2 4 2" xfId="1509" xr:uid="{00000000-0005-0000-0000-000065250000}"/>
    <cellStyle name="Normal 8 2 2 4 2 2" xfId="10243" xr:uid="{00000000-0005-0000-0000-000066250000}"/>
    <cellStyle name="Normal 8 2 2 4 3" xfId="10027" xr:uid="{00000000-0005-0000-0000-000067250000}"/>
    <cellStyle name="Normal 8 2 2 5" xfId="1365" xr:uid="{00000000-0005-0000-0000-000068250000}"/>
    <cellStyle name="Normal 8 2 2 5 2" xfId="10099" xr:uid="{00000000-0005-0000-0000-000069250000}"/>
    <cellStyle name="Normal 8 2 2 6" xfId="9883" xr:uid="{00000000-0005-0000-0000-00006A250000}"/>
    <cellStyle name="Normal 8 2 3" xfId="941" xr:uid="{00000000-0005-0000-0000-00006B250000}"/>
    <cellStyle name="Normal 8 2 3 2" xfId="959" xr:uid="{00000000-0005-0000-0000-00006C250000}"/>
    <cellStyle name="Normal 8 2 3 3" xfId="1224" xr:uid="{00000000-0005-0000-0000-00006D250000}"/>
    <cellStyle name="Normal 8 2 3 3 2" xfId="1450" xr:uid="{00000000-0005-0000-0000-00006E250000}"/>
    <cellStyle name="Normal 8 2 3 3 2 2" xfId="10184" xr:uid="{00000000-0005-0000-0000-00006F250000}"/>
    <cellStyle name="Normal 8 2 3 3 3" xfId="9968" xr:uid="{00000000-0005-0000-0000-000070250000}"/>
    <cellStyle name="Normal 8 2 3 4" xfId="1306" xr:uid="{00000000-0005-0000-0000-000071250000}"/>
    <cellStyle name="Normal 8 2 3 4 2" xfId="1522" xr:uid="{00000000-0005-0000-0000-000072250000}"/>
    <cellStyle name="Normal 8 2 3 4 2 2" xfId="10256" xr:uid="{00000000-0005-0000-0000-000073250000}"/>
    <cellStyle name="Normal 8 2 3 4 3" xfId="10040" xr:uid="{00000000-0005-0000-0000-000074250000}"/>
    <cellStyle name="Normal 8 2 3 5" xfId="1378" xr:uid="{00000000-0005-0000-0000-000075250000}"/>
    <cellStyle name="Normal 8 2 3 5 2" xfId="10112" xr:uid="{00000000-0005-0000-0000-000076250000}"/>
    <cellStyle name="Normal 8 2 3 6" xfId="9896" xr:uid="{00000000-0005-0000-0000-000077250000}"/>
    <cellStyle name="Normal 8 2 4" xfId="958" xr:uid="{00000000-0005-0000-0000-000078250000}"/>
    <cellStyle name="Normal 8 2 4 2" xfId="957" xr:uid="{00000000-0005-0000-0000-000079250000}"/>
    <cellStyle name="Normal 8 2 5" xfId="956" xr:uid="{00000000-0005-0000-0000-00007A250000}"/>
    <cellStyle name="Normal 8 2 6" xfId="955" xr:uid="{00000000-0005-0000-0000-00007B250000}"/>
    <cellStyle name="Normal 8 2 7" xfId="1158" xr:uid="{00000000-0005-0000-0000-00007C250000}"/>
    <cellStyle name="Normal 8 2 7 2" xfId="1261" xr:uid="{00000000-0005-0000-0000-00007D250000}"/>
    <cellStyle name="Normal 8 2 7 2 2" xfId="1477" xr:uid="{00000000-0005-0000-0000-00007E250000}"/>
    <cellStyle name="Normal 8 2 7 2 2 2" xfId="10211" xr:uid="{00000000-0005-0000-0000-00007F250000}"/>
    <cellStyle name="Normal 8 2 7 2 3" xfId="9995" xr:uid="{00000000-0005-0000-0000-000080250000}"/>
    <cellStyle name="Normal 8 2 7 3" xfId="1333" xr:uid="{00000000-0005-0000-0000-000081250000}"/>
    <cellStyle name="Normal 8 2 7 3 2" xfId="1549" xr:uid="{00000000-0005-0000-0000-000082250000}"/>
    <cellStyle name="Normal 8 2 7 3 2 2" xfId="10283" xr:uid="{00000000-0005-0000-0000-000083250000}"/>
    <cellStyle name="Normal 8 2 7 3 3" xfId="10067" xr:uid="{00000000-0005-0000-0000-000084250000}"/>
    <cellStyle name="Normal 8 2 7 4" xfId="1405" xr:uid="{00000000-0005-0000-0000-000085250000}"/>
    <cellStyle name="Normal 8 2 7 4 2" xfId="10139" xr:uid="{00000000-0005-0000-0000-000086250000}"/>
    <cellStyle name="Normal 8 2 7 5" xfId="9923" xr:uid="{00000000-0005-0000-0000-000087250000}"/>
    <cellStyle name="Normal 8 2 8" xfId="1197" xr:uid="{00000000-0005-0000-0000-000088250000}"/>
    <cellStyle name="Normal 8 2 8 2" xfId="1424" xr:uid="{00000000-0005-0000-0000-000089250000}"/>
    <cellStyle name="Normal 8 2 8 2 2" xfId="10158" xr:uid="{00000000-0005-0000-0000-00008A250000}"/>
    <cellStyle name="Normal 8 2 8 3" xfId="9942" xr:uid="{00000000-0005-0000-0000-00008B250000}"/>
    <cellStyle name="Normal 8 2 9" xfId="1280" xr:uid="{00000000-0005-0000-0000-00008C250000}"/>
    <cellStyle name="Normal 8 2 9 2" xfId="1496" xr:uid="{00000000-0005-0000-0000-00008D250000}"/>
    <cellStyle name="Normal 8 2 9 2 2" xfId="10230" xr:uid="{00000000-0005-0000-0000-00008E250000}"/>
    <cellStyle name="Normal 8 2 9 3" xfId="10014" xr:uid="{00000000-0005-0000-0000-00008F250000}"/>
    <cellStyle name="Normal 8 3" xfId="897" xr:uid="{00000000-0005-0000-0000-000090250000}"/>
    <cellStyle name="Normal 8 3 10" xfId="9882" xr:uid="{00000000-0005-0000-0000-000091250000}"/>
    <cellStyle name="Normal 8 3 2" xfId="954" xr:uid="{00000000-0005-0000-0000-000092250000}"/>
    <cellStyle name="Normal 8 3 2 2" xfId="953" xr:uid="{00000000-0005-0000-0000-000093250000}"/>
    <cellStyle name="Normal 8 3 3" xfId="952" xr:uid="{00000000-0005-0000-0000-000094250000}"/>
    <cellStyle name="Normal 8 3 3 2" xfId="951" xr:uid="{00000000-0005-0000-0000-000095250000}"/>
    <cellStyle name="Normal 8 3 4" xfId="950" xr:uid="{00000000-0005-0000-0000-000096250000}"/>
    <cellStyle name="Normal 8 3 4 2" xfId="949" xr:uid="{00000000-0005-0000-0000-000097250000}"/>
    <cellStyle name="Normal 8 3 5" xfId="948" xr:uid="{00000000-0005-0000-0000-000098250000}"/>
    <cellStyle name="Normal 8 3 6" xfId="947" xr:uid="{00000000-0005-0000-0000-000099250000}"/>
    <cellStyle name="Normal 8 3 7" xfId="1210" xr:uid="{00000000-0005-0000-0000-00009A250000}"/>
    <cellStyle name="Normal 8 3 7 2" xfId="1436" xr:uid="{00000000-0005-0000-0000-00009B250000}"/>
    <cellStyle name="Normal 8 3 7 2 2" xfId="10170" xr:uid="{00000000-0005-0000-0000-00009C250000}"/>
    <cellStyle name="Normal 8 3 7 3" xfId="9954" xr:uid="{00000000-0005-0000-0000-00009D250000}"/>
    <cellStyle name="Normal 8 3 8" xfId="1292" xr:uid="{00000000-0005-0000-0000-00009E250000}"/>
    <cellStyle name="Normal 8 3 8 2" xfId="1508" xr:uid="{00000000-0005-0000-0000-00009F250000}"/>
    <cellStyle name="Normal 8 3 8 2 2" xfId="10242" xr:uid="{00000000-0005-0000-0000-0000A0250000}"/>
    <cellStyle name="Normal 8 3 8 3" xfId="10026" xr:uid="{00000000-0005-0000-0000-0000A1250000}"/>
    <cellStyle name="Normal 8 3 9" xfId="1364" xr:uid="{00000000-0005-0000-0000-0000A2250000}"/>
    <cellStyle name="Normal 8 3 9 2" xfId="10098" xr:uid="{00000000-0005-0000-0000-0000A3250000}"/>
    <cellStyle name="Normal 8 4" xfId="940" xr:uid="{00000000-0005-0000-0000-0000A4250000}"/>
    <cellStyle name="Normal 8 4 10" xfId="9895" xr:uid="{00000000-0005-0000-0000-0000A5250000}"/>
    <cellStyle name="Normal 8 4 2" xfId="946" xr:uid="{00000000-0005-0000-0000-0000A6250000}"/>
    <cellStyle name="Normal 8 4 2 2" xfId="945" xr:uid="{00000000-0005-0000-0000-0000A7250000}"/>
    <cellStyle name="Normal 8 4 3" xfId="944" xr:uid="{00000000-0005-0000-0000-0000A8250000}"/>
    <cellStyle name="Normal 8 4 3 2" xfId="939" xr:uid="{00000000-0005-0000-0000-0000A9250000}"/>
    <cellStyle name="Normal 8 4 4" xfId="930" xr:uid="{00000000-0005-0000-0000-0000AA250000}"/>
    <cellStyle name="Normal 8 4 4 2" xfId="929" xr:uid="{00000000-0005-0000-0000-0000AB250000}"/>
    <cellStyle name="Normal 8 4 5" xfId="928" xr:uid="{00000000-0005-0000-0000-0000AC250000}"/>
    <cellStyle name="Normal 8 4 6" xfId="927" xr:uid="{00000000-0005-0000-0000-0000AD250000}"/>
    <cellStyle name="Normal 8 4 7" xfId="1223" xr:uid="{00000000-0005-0000-0000-0000AE250000}"/>
    <cellStyle name="Normal 8 4 7 2" xfId="1449" xr:uid="{00000000-0005-0000-0000-0000AF250000}"/>
    <cellStyle name="Normal 8 4 7 2 2" xfId="10183" xr:uid="{00000000-0005-0000-0000-0000B0250000}"/>
    <cellStyle name="Normal 8 4 7 3" xfId="9967" xr:uid="{00000000-0005-0000-0000-0000B1250000}"/>
    <cellStyle name="Normal 8 4 8" xfId="1305" xr:uid="{00000000-0005-0000-0000-0000B2250000}"/>
    <cellStyle name="Normal 8 4 8 2" xfId="1521" xr:uid="{00000000-0005-0000-0000-0000B3250000}"/>
    <cellStyle name="Normal 8 4 8 2 2" xfId="10255" xr:uid="{00000000-0005-0000-0000-0000B4250000}"/>
    <cellStyle name="Normal 8 4 8 3" xfId="10039" xr:uid="{00000000-0005-0000-0000-0000B5250000}"/>
    <cellStyle name="Normal 8 4 9" xfId="1377" xr:uid="{00000000-0005-0000-0000-0000B6250000}"/>
    <cellStyle name="Normal 8 4 9 2" xfId="10111" xr:uid="{00000000-0005-0000-0000-0000B7250000}"/>
    <cellStyle name="Normal 8 5" xfId="926" xr:uid="{00000000-0005-0000-0000-0000B8250000}"/>
    <cellStyle name="Normal 8 5 2" xfId="925" xr:uid="{00000000-0005-0000-0000-0000B9250000}"/>
    <cellStyle name="Normal 8 5 2 2" xfId="924" xr:uid="{00000000-0005-0000-0000-0000BA250000}"/>
    <cellStyle name="Normal 8 5 3" xfId="923" xr:uid="{00000000-0005-0000-0000-0000BB250000}"/>
    <cellStyle name="Normal 8 5 3 2" xfId="922" xr:uid="{00000000-0005-0000-0000-0000BC250000}"/>
    <cellStyle name="Normal 8 5 4" xfId="921" xr:uid="{00000000-0005-0000-0000-0000BD250000}"/>
    <cellStyle name="Normal 8 5 5" xfId="919" xr:uid="{00000000-0005-0000-0000-0000BE250000}"/>
    <cellStyle name="Normal 8 6" xfId="901" xr:uid="{00000000-0005-0000-0000-0000BF250000}"/>
    <cellStyle name="Normal 8 6 2" xfId="918" xr:uid="{00000000-0005-0000-0000-0000C0250000}"/>
    <cellStyle name="Normal 8 6 2 2" xfId="917" xr:uid="{00000000-0005-0000-0000-0000C1250000}"/>
    <cellStyle name="Normal 8 6 3" xfId="916" xr:uid="{00000000-0005-0000-0000-0000C2250000}"/>
    <cellStyle name="Normal 8 6 3 2" xfId="915" xr:uid="{00000000-0005-0000-0000-0000C3250000}"/>
    <cellStyle name="Normal 8 6 4" xfId="914" xr:uid="{00000000-0005-0000-0000-0000C4250000}"/>
    <cellStyle name="Normal 8 6 5" xfId="913" xr:uid="{00000000-0005-0000-0000-0000C5250000}"/>
    <cellStyle name="Normal 8 7" xfId="912" xr:uid="{00000000-0005-0000-0000-0000C6250000}"/>
    <cellStyle name="Normal 8 7 2" xfId="911" xr:uid="{00000000-0005-0000-0000-0000C7250000}"/>
    <cellStyle name="Normal 8 7 2 2" xfId="910" xr:uid="{00000000-0005-0000-0000-0000C8250000}"/>
    <cellStyle name="Normal 8 7 3" xfId="909" xr:uid="{00000000-0005-0000-0000-0000C9250000}"/>
    <cellStyle name="Normal 8 7 3 2" xfId="908" xr:uid="{00000000-0005-0000-0000-0000CA250000}"/>
    <cellStyle name="Normal 8 7 4" xfId="907" xr:uid="{00000000-0005-0000-0000-0000CB250000}"/>
    <cellStyle name="Normal 8 7 5" xfId="906" xr:uid="{00000000-0005-0000-0000-0000CC250000}"/>
    <cellStyle name="Normal 8 8" xfId="905" xr:uid="{00000000-0005-0000-0000-0000CD250000}"/>
    <cellStyle name="Normal 8 8 2" xfId="904" xr:uid="{00000000-0005-0000-0000-0000CE250000}"/>
    <cellStyle name="Normal 8 9" xfId="903" xr:uid="{00000000-0005-0000-0000-0000CF250000}"/>
    <cellStyle name="Normal 8 9 2" xfId="902" xr:uid="{00000000-0005-0000-0000-0000D0250000}"/>
    <cellStyle name="Normal 9" xfId="347" xr:uid="{00000000-0005-0000-0000-0000D1250000}"/>
    <cellStyle name="Normal 9 10" xfId="1281" xr:uid="{00000000-0005-0000-0000-0000D2250000}"/>
    <cellStyle name="Normal 9 10 2" xfId="1497" xr:uid="{00000000-0005-0000-0000-0000D3250000}"/>
    <cellStyle name="Normal 9 10 2 2" xfId="10231" xr:uid="{00000000-0005-0000-0000-0000D4250000}"/>
    <cellStyle name="Normal 9 10 3" xfId="10015" xr:uid="{00000000-0005-0000-0000-0000D5250000}"/>
    <cellStyle name="Normal 9 11" xfId="1353" xr:uid="{00000000-0005-0000-0000-0000D6250000}"/>
    <cellStyle name="Normal 9 11 2" xfId="10087" xr:uid="{00000000-0005-0000-0000-0000D7250000}"/>
    <cellStyle name="Normal 9 12" xfId="9869" xr:uid="{00000000-0005-0000-0000-0000D8250000}"/>
    <cellStyle name="Normal 9 13" xfId="746" xr:uid="{00000000-0005-0000-0000-0000D9250000}"/>
    <cellStyle name="Normal 9 2" xfId="747" xr:uid="{00000000-0005-0000-0000-0000DA250000}"/>
    <cellStyle name="Normal 9 2 2" xfId="900" xr:uid="{00000000-0005-0000-0000-0000DB250000}"/>
    <cellStyle name="Normal 9 2 2 2" xfId="1213" xr:uid="{00000000-0005-0000-0000-0000DC250000}"/>
    <cellStyle name="Normal 9 2 2 2 2" xfId="1439" xr:uid="{00000000-0005-0000-0000-0000DD250000}"/>
    <cellStyle name="Normal 9 2 2 2 2 2" xfId="10173" xr:uid="{00000000-0005-0000-0000-0000DE250000}"/>
    <cellStyle name="Normal 9 2 2 2 3" xfId="9957" xr:uid="{00000000-0005-0000-0000-0000DF250000}"/>
    <cellStyle name="Normal 9 2 2 3" xfId="1295" xr:uid="{00000000-0005-0000-0000-0000E0250000}"/>
    <cellStyle name="Normal 9 2 2 3 2" xfId="1511" xr:uid="{00000000-0005-0000-0000-0000E1250000}"/>
    <cellStyle name="Normal 9 2 2 3 2 2" xfId="10245" xr:uid="{00000000-0005-0000-0000-0000E2250000}"/>
    <cellStyle name="Normal 9 2 2 3 3" xfId="10029" xr:uid="{00000000-0005-0000-0000-0000E3250000}"/>
    <cellStyle name="Normal 9 2 2 4" xfId="1367" xr:uid="{00000000-0005-0000-0000-0000E4250000}"/>
    <cellStyle name="Normal 9 2 2 4 2" xfId="10101" xr:uid="{00000000-0005-0000-0000-0000E5250000}"/>
    <cellStyle name="Normal 9 2 2 5" xfId="9885" xr:uid="{00000000-0005-0000-0000-0000E6250000}"/>
    <cellStyle name="Normal 9 2 3" xfId="943" xr:uid="{00000000-0005-0000-0000-0000E7250000}"/>
    <cellStyle name="Normal 9 2 3 2" xfId="1226" xr:uid="{00000000-0005-0000-0000-0000E8250000}"/>
    <cellStyle name="Normal 9 2 3 2 2" xfId="1452" xr:uid="{00000000-0005-0000-0000-0000E9250000}"/>
    <cellStyle name="Normal 9 2 3 2 2 2" xfId="10186" xr:uid="{00000000-0005-0000-0000-0000EA250000}"/>
    <cellStyle name="Normal 9 2 3 2 3" xfId="9970" xr:uid="{00000000-0005-0000-0000-0000EB250000}"/>
    <cellStyle name="Normal 9 2 3 3" xfId="1308" xr:uid="{00000000-0005-0000-0000-0000EC250000}"/>
    <cellStyle name="Normal 9 2 3 3 2" xfId="1524" xr:uid="{00000000-0005-0000-0000-0000ED250000}"/>
    <cellStyle name="Normal 9 2 3 3 2 2" xfId="10258" xr:uid="{00000000-0005-0000-0000-0000EE250000}"/>
    <cellStyle name="Normal 9 2 3 3 3" xfId="10042" xr:uid="{00000000-0005-0000-0000-0000EF250000}"/>
    <cellStyle name="Normal 9 2 3 4" xfId="1380" xr:uid="{00000000-0005-0000-0000-0000F0250000}"/>
    <cellStyle name="Normal 9 2 3 4 2" xfId="10114" xr:uid="{00000000-0005-0000-0000-0000F1250000}"/>
    <cellStyle name="Normal 9 2 3 5" xfId="9898" xr:uid="{00000000-0005-0000-0000-0000F2250000}"/>
    <cellStyle name="Normal 9 2 4" xfId="1160" xr:uid="{00000000-0005-0000-0000-0000F3250000}"/>
    <cellStyle name="Normal 9 2 4 2" xfId="1263" xr:uid="{00000000-0005-0000-0000-0000F4250000}"/>
    <cellStyle name="Normal 9 2 4 2 2" xfId="1479" xr:uid="{00000000-0005-0000-0000-0000F5250000}"/>
    <cellStyle name="Normal 9 2 4 2 2 2" xfId="10213" xr:uid="{00000000-0005-0000-0000-0000F6250000}"/>
    <cellStyle name="Normal 9 2 4 2 3" xfId="9997" xr:uid="{00000000-0005-0000-0000-0000F7250000}"/>
    <cellStyle name="Normal 9 2 4 3" xfId="1335" xr:uid="{00000000-0005-0000-0000-0000F8250000}"/>
    <cellStyle name="Normal 9 2 4 3 2" xfId="1551" xr:uid="{00000000-0005-0000-0000-0000F9250000}"/>
    <cellStyle name="Normal 9 2 4 3 2 2" xfId="10285" xr:uid="{00000000-0005-0000-0000-0000FA250000}"/>
    <cellStyle name="Normal 9 2 4 3 3" xfId="10069" xr:uid="{00000000-0005-0000-0000-0000FB250000}"/>
    <cellStyle name="Normal 9 2 4 4" xfId="1407" xr:uid="{00000000-0005-0000-0000-0000FC250000}"/>
    <cellStyle name="Normal 9 2 4 4 2" xfId="10141" xr:uid="{00000000-0005-0000-0000-0000FD250000}"/>
    <cellStyle name="Normal 9 2 4 5" xfId="9925" xr:uid="{00000000-0005-0000-0000-0000FE250000}"/>
    <cellStyle name="Normal 9 2 5" xfId="1199" xr:uid="{00000000-0005-0000-0000-0000FF250000}"/>
    <cellStyle name="Normal 9 2 5 2" xfId="1426" xr:uid="{00000000-0005-0000-0000-000000260000}"/>
    <cellStyle name="Normal 9 2 5 2 2" xfId="10160" xr:uid="{00000000-0005-0000-0000-000001260000}"/>
    <cellStyle name="Normal 9 2 5 3" xfId="9944" xr:uid="{00000000-0005-0000-0000-000002260000}"/>
    <cellStyle name="Normal 9 2 6" xfId="1282" xr:uid="{00000000-0005-0000-0000-000003260000}"/>
    <cellStyle name="Normal 9 2 6 2" xfId="1498" xr:uid="{00000000-0005-0000-0000-000004260000}"/>
    <cellStyle name="Normal 9 2 6 2 2" xfId="10232" xr:uid="{00000000-0005-0000-0000-000005260000}"/>
    <cellStyle name="Normal 9 2 6 3" xfId="10016" xr:uid="{00000000-0005-0000-0000-000006260000}"/>
    <cellStyle name="Normal 9 2 7" xfId="1354" xr:uid="{00000000-0005-0000-0000-000007260000}"/>
    <cellStyle name="Normal 9 2 7 2" xfId="10088" xr:uid="{00000000-0005-0000-0000-000008260000}"/>
    <cellStyle name="Normal 9 2 8" xfId="9870" xr:uid="{00000000-0005-0000-0000-000009260000}"/>
    <cellStyle name="Normal 9 3" xfId="899" xr:uid="{00000000-0005-0000-0000-00000A260000}"/>
    <cellStyle name="Normal 9 3 2" xfId="1212" xr:uid="{00000000-0005-0000-0000-00000B260000}"/>
    <cellStyle name="Normal 9 3 2 2" xfId="1438" xr:uid="{00000000-0005-0000-0000-00000C260000}"/>
    <cellStyle name="Normal 9 3 2 2 2" xfId="10172" xr:uid="{00000000-0005-0000-0000-00000D260000}"/>
    <cellStyle name="Normal 9 3 2 3" xfId="9956" xr:uid="{00000000-0005-0000-0000-00000E260000}"/>
    <cellStyle name="Normal 9 3 3" xfId="1294" xr:uid="{00000000-0005-0000-0000-00000F260000}"/>
    <cellStyle name="Normal 9 3 3 2" xfId="1510" xr:uid="{00000000-0005-0000-0000-000010260000}"/>
    <cellStyle name="Normal 9 3 3 2 2" xfId="10244" xr:uid="{00000000-0005-0000-0000-000011260000}"/>
    <cellStyle name="Normal 9 3 3 3" xfId="10028" xr:uid="{00000000-0005-0000-0000-000012260000}"/>
    <cellStyle name="Normal 9 3 4" xfId="1366" xr:uid="{00000000-0005-0000-0000-000013260000}"/>
    <cellStyle name="Normal 9 3 4 2" xfId="10100" xr:uid="{00000000-0005-0000-0000-000014260000}"/>
    <cellStyle name="Normal 9 3 5" xfId="9884" xr:uid="{00000000-0005-0000-0000-000015260000}"/>
    <cellStyle name="Normal 9 4" xfId="942" xr:uid="{00000000-0005-0000-0000-000016260000}"/>
    <cellStyle name="Normal 9 4 2" xfId="1225" xr:uid="{00000000-0005-0000-0000-000017260000}"/>
    <cellStyle name="Normal 9 4 2 2" xfId="1451" xr:uid="{00000000-0005-0000-0000-000018260000}"/>
    <cellStyle name="Normal 9 4 2 2 2" xfId="10185" xr:uid="{00000000-0005-0000-0000-000019260000}"/>
    <cellStyle name="Normal 9 4 2 3" xfId="9969" xr:uid="{00000000-0005-0000-0000-00001A260000}"/>
    <cellStyle name="Normal 9 4 3" xfId="1307" xr:uid="{00000000-0005-0000-0000-00001B260000}"/>
    <cellStyle name="Normal 9 4 3 2" xfId="1523" xr:uid="{00000000-0005-0000-0000-00001C260000}"/>
    <cellStyle name="Normal 9 4 3 2 2" xfId="10257" xr:uid="{00000000-0005-0000-0000-00001D260000}"/>
    <cellStyle name="Normal 9 4 3 3" xfId="10041" xr:uid="{00000000-0005-0000-0000-00001E260000}"/>
    <cellStyle name="Normal 9 4 4" xfId="1379" xr:uid="{00000000-0005-0000-0000-00001F260000}"/>
    <cellStyle name="Normal 9 4 4 2" xfId="10113" xr:uid="{00000000-0005-0000-0000-000020260000}"/>
    <cellStyle name="Normal 9 4 5" xfId="9897" xr:uid="{00000000-0005-0000-0000-000021260000}"/>
    <cellStyle name="Normal 9 5" xfId="1127" xr:uid="{00000000-0005-0000-0000-000022260000}"/>
    <cellStyle name="Normal 9 5 2" xfId="1234" xr:uid="{00000000-0005-0000-0000-000023260000}"/>
    <cellStyle name="Normal 9 5 2 2" xfId="1460" xr:uid="{00000000-0005-0000-0000-000024260000}"/>
    <cellStyle name="Normal 9 5 2 2 2" xfId="10194" xr:uid="{00000000-0005-0000-0000-000025260000}"/>
    <cellStyle name="Normal 9 5 2 3" xfId="9978" xr:uid="{00000000-0005-0000-0000-000026260000}"/>
    <cellStyle name="Normal 9 5 3" xfId="1316" xr:uid="{00000000-0005-0000-0000-000027260000}"/>
    <cellStyle name="Normal 9 5 3 2" xfId="1532" xr:uid="{00000000-0005-0000-0000-000028260000}"/>
    <cellStyle name="Normal 9 5 3 2 2" xfId="10266" xr:uid="{00000000-0005-0000-0000-000029260000}"/>
    <cellStyle name="Normal 9 5 3 3" xfId="10050" xr:uid="{00000000-0005-0000-0000-00002A260000}"/>
    <cellStyle name="Normal 9 5 4" xfId="1388" xr:uid="{00000000-0005-0000-0000-00002B260000}"/>
    <cellStyle name="Normal 9 5 4 2" xfId="10122" xr:uid="{00000000-0005-0000-0000-00002C260000}"/>
    <cellStyle name="Normal 9 5 5" xfId="9906" xr:uid="{00000000-0005-0000-0000-00002D260000}"/>
    <cellStyle name="Normal 9 6" xfId="1134" xr:uid="{00000000-0005-0000-0000-00002E260000}"/>
    <cellStyle name="Normal 9 6 2" xfId="1240" xr:uid="{00000000-0005-0000-0000-00002F260000}"/>
    <cellStyle name="Normal 9 6 2 2" xfId="1466" xr:uid="{00000000-0005-0000-0000-000030260000}"/>
    <cellStyle name="Normal 9 6 2 2 2" xfId="10200" xr:uid="{00000000-0005-0000-0000-000031260000}"/>
    <cellStyle name="Normal 9 6 2 3" xfId="9984" xr:uid="{00000000-0005-0000-0000-000032260000}"/>
    <cellStyle name="Normal 9 6 3" xfId="1322" xr:uid="{00000000-0005-0000-0000-000033260000}"/>
    <cellStyle name="Normal 9 6 3 2" xfId="1538" xr:uid="{00000000-0005-0000-0000-000034260000}"/>
    <cellStyle name="Normal 9 6 3 2 2" xfId="10272" xr:uid="{00000000-0005-0000-0000-000035260000}"/>
    <cellStyle name="Normal 9 6 3 3" xfId="10056" xr:uid="{00000000-0005-0000-0000-000036260000}"/>
    <cellStyle name="Normal 9 6 4" xfId="1394" xr:uid="{00000000-0005-0000-0000-000037260000}"/>
    <cellStyle name="Normal 9 6 4 2" xfId="10128" xr:uid="{00000000-0005-0000-0000-000038260000}"/>
    <cellStyle name="Normal 9 6 5" xfId="9912" xr:uid="{00000000-0005-0000-0000-000039260000}"/>
    <cellStyle name="Normal 9 7" xfId="1159" xr:uid="{00000000-0005-0000-0000-00003A260000}"/>
    <cellStyle name="Normal 9 7 2" xfId="1262" xr:uid="{00000000-0005-0000-0000-00003B260000}"/>
    <cellStyle name="Normal 9 7 2 2" xfId="1478" xr:uid="{00000000-0005-0000-0000-00003C260000}"/>
    <cellStyle name="Normal 9 7 2 2 2" xfId="10212" xr:uid="{00000000-0005-0000-0000-00003D260000}"/>
    <cellStyle name="Normal 9 7 2 3" xfId="9996" xr:uid="{00000000-0005-0000-0000-00003E260000}"/>
    <cellStyle name="Normal 9 7 3" xfId="1334" xr:uid="{00000000-0005-0000-0000-00003F260000}"/>
    <cellStyle name="Normal 9 7 3 2" xfId="1550" xr:uid="{00000000-0005-0000-0000-000040260000}"/>
    <cellStyle name="Normal 9 7 3 2 2" xfId="10284" xr:uid="{00000000-0005-0000-0000-000041260000}"/>
    <cellStyle name="Normal 9 7 3 3" xfId="10068" xr:uid="{00000000-0005-0000-0000-000042260000}"/>
    <cellStyle name="Normal 9 7 4" xfId="1406" xr:uid="{00000000-0005-0000-0000-000043260000}"/>
    <cellStyle name="Normal 9 7 4 2" xfId="10140" xr:uid="{00000000-0005-0000-0000-000044260000}"/>
    <cellStyle name="Normal 9 7 5" xfId="9924" xr:uid="{00000000-0005-0000-0000-000045260000}"/>
    <cellStyle name="Normal 9 8" xfId="1177" xr:uid="{00000000-0005-0000-0000-000046260000}"/>
    <cellStyle name="Normal 9 8 2" xfId="1269" xr:uid="{00000000-0005-0000-0000-000047260000}"/>
    <cellStyle name="Normal 9 8 2 2" xfId="1485" xr:uid="{00000000-0005-0000-0000-000048260000}"/>
    <cellStyle name="Normal 9 8 2 2 2" xfId="10219" xr:uid="{00000000-0005-0000-0000-000049260000}"/>
    <cellStyle name="Normal 9 8 2 3" xfId="10003" xr:uid="{00000000-0005-0000-0000-00004A260000}"/>
    <cellStyle name="Normal 9 8 3" xfId="1341" xr:uid="{00000000-0005-0000-0000-00004B260000}"/>
    <cellStyle name="Normal 9 8 3 2" xfId="1557" xr:uid="{00000000-0005-0000-0000-00004C260000}"/>
    <cellStyle name="Normal 9 8 3 2 2" xfId="10291" xr:uid="{00000000-0005-0000-0000-00004D260000}"/>
    <cellStyle name="Normal 9 8 3 3" xfId="10075" xr:uid="{00000000-0005-0000-0000-00004E260000}"/>
    <cellStyle name="Normal 9 8 4" xfId="1413" xr:uid="{00000000-0005-0000-0000-00004F260000}"/>
    <cellStyle name="Normal 9 8 4 2" xfId="10147" xr:uid="{00000000-0005-0000-0000-000050260000}"/>
    <cellStyle name="Normal 9 8 5" xfId="9931" xr:uid="{00000000-0005-0000-0000-000051260000}"/>
    <cellStyle name="Normal 9 9" xfId="1198" xr:uid="{00000000-0005-0000-0000-000052260000}"/>
    <cellStyle name="Normal 9 9 2" xfId="1425" xr:uid="{00000000-0005-0000-0000-000053260000}"/>
    <cellStyle name="Normal 9 9 2 2" xfId="10159" xr:uid="{00000000-0005-0000-0000-000054260000}"/>
    <cellStyle name="Normal 9 9 3" xfId="9943" xr:uid="{00000000-0005-0000-0000-000055260000}"/>
    <cellStyle name="Normal$" xfId="348" xr:uid="{00000000-0005-0000-0000-000056260000}"/>
    <cellStyle name="Normal_FERC Functional M&amp;S All Cos" xfId="1064" xr:uid="{00000000-0005-0000-0000-000057260000}"/>
    <cellStyle name="Normal_Support 2003 PSI Peak Demand excluding Joint Owners 2" xfId="1065" xr:uid="{00000000-0005-0000-0000-000058260000}"/>
    <cellStyle name="Normal1" xfId="349" xr:uid="{00000000-0005-0000-0000-000059260000}"/>
    <cellStyle name="Normal9" xfId="350" xr:uid="{00000000-0005-0000-0000-00005A260000}"/>
    <cellStyle name="Note 2" xfId="351" xr:uid="{00000000-0005-0000-0000-00005B260000}"/>
    <cellStyle name="Note 2 2" xfId="352" xr:uid="{00000000-0005-0000-0000-00005C260000}"/>
    <cellStyle name="Note 2 2 2" xfId="353" xr:uid="{00000000-0005-0000-0000-00005D260000}"/>
    <cellStyle name="Note 2 2 2 2" xfId="495" xr:uid="{00000000-0005-0000-0000-00005E260000}"/>
    <cellStyle name="Note 2 2 3" xfId="354" xr:uid="{00000000-0005-0000-0000-00005F260000}"/>
    <cellStyle name="Note 2 2 3 2" xfId="496" xr:uid="{00000000-0005-0000-0000-000060260000}"/>
    <cellStyle name="Note 2 2 4" xfId="355" xr:uid="{00000000-0005-0000-0000-000061260000}"/>
    <cellStyle name="Note 2 2 5" xfId="494" xr:uid="{00000000-0005-0000-0000-000062260000}"/>
    <cellStyle name="Note 2 2 6" xfId="9620" xr:uid="{00000000-0005-0000-0000-000063260000}"/>
    <cellStyle name="Note 2 3" xfId="356" xr:uid="{00000000-0005-0000-0000-000064260000}"/>
    <cellStyle name="Note 2 3 2" xfId="497" xr:uid="{00000000-0005-0000-0000-000065260000}"/>
    <cellStyle name="Note 2 4" xfId="357" xr:uid="{00000000-0005-0000-0000-000066260000}"/>
    <cellStyle name="Note 2 5" xfId="1109" xr:uid="{00000000-0005-0000-0000-000067260000}"/>
    <cellStyle name="Note 3" xfId="358" xr:uid="{00000000-0005-0000-0000-000068260000}"/>
    <cellStyle name="Note 4" xfId="359" xr:uid="{00000000-0005-0000-0000-000069260000}"/>
    <cellStyle name="Note 4 2" xfId="9621" xr:uid="{00000000-0005-0000-0000-00006A260000}"/>
    <cellStyle name="Note 5" xfId="9622" xr:uid="{00000000-0005-0000-0000-00006B260000}"/>
    <cellStyle name="Note 5 2" xfId="9623" xr:uid="{00000000-0005-0000-0000-00006C260000}"/>
    <cellStyle name="Note 5 2 2" xfId="9624" xr:uid="{00000000-0005-0000-0000-00006D260000}"/>
    <cellStyle name="Note 5 2 3" xfId="9625" xr:uid="{00000000-0005-0000-0000-00006E260000}"/>
    <cellStyle name="Note 5 3" xfId="9626" xr:uid="{00000000-0005-0000-0000-00006F260000}"/>
    <cellStyle name="Note 5 4" xfId="9627" xr:uid="{00000000-0005-0000-0000-000070260000}"/>
    <cellStyle name="Note 5 5" xfId="9628" xr:uid="{00000000-0005-0000-0000-000071260000}"/>
    <cellStyle name="Note 6" xfId="9629" xr:uid="{00000000-0005-0000-0000-000072260000}"/>
    <cellStyle name="Note 7" xfId="9630" xr:uid="{00000000-0005-0000-0000-000073260000}"/>
    <cellStyle name="Note 8" xfId="9631" xr:uid="{00000000-0005-0000-0000-000074260000}"/>
    <cellStyle name="Note 9" xfId="9632" xr:uid="{00000000-0005-0000-0000-000075260000}"/>
    <cellStyle name="Output 2" xfId="360" xr:uid="{00000000-0005-0000-0000-000076260000}"/>
    <cellStyle name="Output 2 2" xfId="361" xr:uid="{00000000-0005-0000-0000-000077260000}"/>
    <cellStyle name="Output 2 3" xfId="362" xr:uid="{00000000-0005-0000-0000-000078260000}"/>
    <cellStyle name="Output 2 4" xfId="363" xr:uid="{00000000-0005-0000-0000-000079260000}"/>
    <cellStyle name="Output 2 5" xfId="1110" xr:uid="{00000000-0005-0000-0000-00007A260000}"/>
    <cellStyle name="Output 3" xfId="9633" xr:uid="{00000000-0005-0000-0000-00007B260000}"/>
    <cellStyle name="Output 4" xfId="9634" xr:uid="{00000000-0005-0000-0000-00007C260000}"/>
    <cellStyle name="Output 5" xfId="9635" xr:uid="{00000000-0005-0000-0000-00007D260000}"/>
    <cellStyle name="Output 6" xfId="9636" xr:uid="{00000000-0005-0000-0000-00007E260000}"/>
    <cellStyle name="Output 7" xfId="9637" xr:uid="{00000000-0005-0000-0000-00007F260000}"/>
    <cellStyle name="Output 8" xfId="9638" xr:uid="{00000000-0005-0000-0000-000080260000}"/>
    <cellStyle name="Output 9" xfId="9639" xr:uid="{00000000-0005-0000-0000-000081260000}"/>
    <cellStyle name="Output1_Back" xfId="748" xr:uid="{00000000-0005-0000-0000-000082260000}"/>
    <cellStyle name="p" xfId="749" xr:uid="{00000000-0005-0000-0000-000083260000}"/>
    <cellStyle name="p_2010 Attachment O  GG_082709" xfId="750" xr:uid="{00000000-0005-0000-0000-000084260000}"/>
    <cellStyle name="p_2010 Attachment O Template Supporting Work Papers_ITC Midwest" xfId="751" xr:uid="{00000000-0005-0000-0000-000085260000}"/>
    <cellStyle name="p_2010 Attachment O Template Supporting Work Papers_ITCTransmission" xfId="752" xr:uid="{00000000-0005-0000-0000-000086260000}"/>
    <cellStyle name="p_2010 Attachment O Template Supporting Work Papers_METC" xfId="753" xr:uid="{00000000-0005-0000-0000-000087260000}"/>
    <cellStyle name="p_2Mod11" xfId="754" xr:uid="{00000000-0005-0000-0000-000088260000}"/>
    <cellStyle name="p_aavidmod11.xls Chart 1" xfId="755" xr:uid="{00000000-0005-0000-0000-000089260000}"/>
    <cellStyle name="p_aavidmod11.xls Chart 2" xfId="756" xr:uid="{00000000-0005-0000-0000-00008A260000}"/>
    <cellStyle name="p_Attachment O &amp; GG" xfId="757" xr:uid="{00000000-0005-0000-0000-00008B260000}"/>
    <cellStyle name="p_charts for capm" xfId="758" xr:uid="{00000000-0005-0000-0000-00008C260000}"/>
    <cellStyle name="p_DCF" xfId="759" xr:uid="{00000000-0005-0000-0000-00008D260000}"/>
    <cellStyle name="p_DCF_2Mod11" xfId="760" xr:uid="{00000000-0005-0000-0000-00008E260000}"/>
    <cellStyle name="p_DCF_aavidmod11.xls Chart 1" xfId="761" xr:uid="{00000000-0005-0000-0000-00008F260000}"/>
    <cellStyle name="p_DCF_aavidmod11.xls Chart 2" xfId="762" xr:uid="{00000000-0005-0000-0000-000090260000}"/>
    <cellStyle name="p_DCF_charts for capm" xfId="763" xr:uid="{00000000-0005-0000-0000-000091260000}"/>
    <cellStyle name="p_DCF_DCF5" xfId="764" xr:uid="{00000000-0005-0000-0000-000092260000}"/>
    <cellStyle name="p_DCF_Template2" xfId="765" xr:uid="{00000000-0005-0000-0000-000093260000}"/>
    <cellStyle name="p_DCF_Template2_1" xfId="766" xr:uid="{00000000-0005-0000-0000-000094260000}"/>
    <cellStyle name="p_DCF_VERA" xfId="767" xr:uid="{00000000-0005-0000-0000-000095260000}"/>
    <cellStyle name="p_DCF_VERA_1" xfId="768" xr:uid="{00000000-0005-0000-0000-000096260000}"/>
    <cellStyle name="p_DCF_VERA_1_Template2" xfId="769" xr:uid="{00000000-0005-0000-0000-000097260000}"/>
    <cellStyle name="p_DCF_VERA_aavidmod11.xls Chart 2" xfId="770" xr:uid="{00000000-0005-0000-0000-000098260000}"/>
    <cellStyle name="p_DCF_VERA_Model02" xfId="771" xr:uid="{00000000-0005-0000-0000-000099260000}"/>
    <cellStyle name="p_DCF_VERA_Template2" xfId="772" xr:uid="{00000000-0005-0000-0000-00009A260000}"/>
    <cellStyle name="p_DCF_VERA_VERA" xfId="773" xr:uid="{00000000-0005-0000-0000-00009B260000}"/>
    <cellStyle name="p_DCF_VERA_VERA_1" xfId="774" xr:uid="{00000000-0005-0000-0000-00009C260000}"/>
    <cellStyle name="p_DCF_VERA_VERA_2" xfId="775" xr:uid="{00000000-0005-0000-0000-00009D260000}"/>
    <cellStyle name="p_DCF_VERA_VERA_Template2" xfId="776" xr:uid="{00000000-0005-0000-0000-00009E260000}"/>
    <cellStyle name="p_DCF5" xfId="777" xr:uid="{00000000-0005-0000-0000-00009F260000}"/>
    <cellStyle name="p_ITC Great Plains Formula 1-12-09a" xfId="778" xr:uid="{00000000-0005-0000-0000-0000A0260000}"/>
    <cellStyle name="p_ITCM 2010 Template" xfId="779" xr:uid="{00000000-0005-0000-0000-0000A1260000}"/>
    <cellStyle name="p_ITCMW 2009 Rate" xfId="780" xr:uid="{00000000-0005-0000-0000-0000A2260000}"/>
    <cellStyle name="p_ITCMW 2010 Rate_083109" xfId="781" xr:uid="{00000000-0005-0000-0000-0000A3260000}"/>
    <cellStyle name="p_ITCOP 2010 Rate_083109" xfId="782" xr:uid="{00000000-0005-0000-0000-0000A4260000}"/>
    <cellStyle name="p_ITCT 2009 Rate" xfId="783" xr:uid="{00000000-0005-0000-0000-0000A5260000}"/>
    <cellStyle name="p_ITCT New 2010 Attachment O &amp; GG_111209NL" xfId="784" xr:uid="{00000000-0005-0000-0000-0000A6260000}"/>
    <cellStyle name="p_METC 2010 Rate_083109" xfId="785" xr:uid="{00000000-0005-0000-0000-0000A7260000}"/>
    <cellStyle name="p_Template2" xfId="786" xr:uid="{00000000-0005-0000-0000-0000A8260000}"/>
    <cellStyle name="p_Template2_1" xfId="787" xr:uid="{00000000-0005-0000-0000-0000A9260000}"/>
    <cellStyle name="p_VERA" xfId="788" xr:uid="{00000000-0005-0000-0000-0000AA260000}"/>
    <cellStyle name="p_VERA_1" xfId="789" xr:uid="{00000000-0005-0000-0000-0000AB260000}"/>
    <cellStyle name="p_VERA_1_Template2" xfId="790" xr:uid="{00000000-0005-0000-0000-0000AC260000}"/>
    <cellStyle name="p_VERA_aavidmod11.xls Chart 2" xfId="791" xr:uid="{00000000-0005-0000-0000-0000AD260000}"/>
    <cellStyle name="p_VERA_Model02" xfId="792" xr:uid="{00000000-0005-0000-0000-0000AE260000}"/>
    <cellStyle name="p_VERA_Template2" xfId="793" xr:uid="{00000000-0005-0000-0000-0000AF260000}"/>
    <cellStyle name="p_VERA_VERA" xfId="794" xr:uid="{00000000-0005-0000-0000-0000B0260000}"/>
    <cellStyle name="p_VERA_VERA_1" xfId="795" xr:uid="{00000000-0005-0000-0000-0000B1260000}"/>
    <cellStyle name="p_VERA_VERA_2" xfId="796" xr:uid="{00000000-0005-0000-0000-0000B2260000}"/>
    <cellStyle name="p_VERA_VERA_Template2" xfId="797" xr:uid="{00000000-0005-0000-0000-0000B3260000}"/>
    <cellStyle name="p1" xfId="798" xr:uid="{00000000-0005-0000-0000-0000B4260000}"/>
    <cellStyle name="p2" xfId="799" xr:uid="{00000000-0005-0000-0000-0000B5260000}"/>
    <cellStyle name="p3" xfId="800" xr:uid="{00000000-0005-0000-0000-0000B6260000}"/>
    <cellStyle name="Percent" xfId="9" builtinId="5"/>
    <cellStyle name="Percent %" xfId="801" xr:uid="{00000000-0005-0000-0000-0000B8260000}"/>
    <cellStyle name="Percent % Long Underline" xfId="802" xr:uid="{00000000-0005-0000-0000-0000B9260000}"/>
    <cellStyle name="Percent (0)" xfId="803" xr:uid="{00000000-0005-0000-0000-0000BA260000}"/>
    <cellStyle name="Percent [0]" xfId="804" xr:uid="{00000000-0005-0000-0000-0000BB260000}"/>
    <cellStyle name="Percent [1]" xfId="805" xr:uid="{00000000-0005-0000-0000-0000BC260000}"/>
    <cellStyle name="Percent [2]" xfId="806" xr:uid="{00000000-0005-0000-0000-0000BD260000}"/>
    <cellStyle name="Percent [3]" xfId="807" xr:uid="{00000000-0005-0000-0000-0000BE260000}"/>
    <cellStyle name="Percent 0.0%" xfId="808" xr:uid="{00000000-0005-0000-0000-0000BF260000}"/>
    <cellStyle name="Percent 0.0% Long Underline" xfId="809" xr:uid="{00000000-0005-0000-0000-0000C0260000}"/>
    <cellStyle name="Percent 0.00%" xfId="810" xr:uid="{00000000-0005-0000-0000-0000C1260000}"/>
    <cellStyle name="Percent 0.00% Long Underline" xfId="811" xr:uid="{00000000-0005-0000-0000-0000C2260000}"/>
    <cellStyle name="Percent 0.000%" xfId="812" xr:uid="{00000000-0005-0000-0000-0000C3260000}"/>
    <cellStyle name="Percent 0.000% Long Underline" xfId="813" xr:uid="{00000000-0005-0000-0000-0000C4260000}"/>
    <cellStyle name="Percent 0.0000%" xfId="814" xr:uid="{00000000-0005-0000-0000-0000C5260000}"/>
    <cellStyle name="Percent 0.0000% Long Underline" xfId="815" xr:uid="{00000000-0005-0000-0000-0000C6260000}"/>
    <cellStyle name="Percent 10" xfId="1135" xr:uid="{00000000-0005-0000-0000-0000C7260000}"/>
    <cellStyle name="Percent 11" xfId="1146" xr:uid="{00000000-0005-0000-0000-0000C8260000}"/>
    <cellStyle name="Percent 11 2" xfId="1249" xr:uid="{00000000-0005-0000-0000-0000C9260000}"/>
    <cellStyle name="Percent 12" xfId="1136" xr:uid="{00000000-0005-0000-0000-0000CA260000}"/>
    <cellStyle name="Percent 12 2" xfId="1241" xr:uid="{00000000-0005-0000-0000-0000CB260000}"/>
    <cellStyle name="Percent 13" xfId="1182" xr:uid="{00000000-0005-0000-0000-0000CC260000}"/>
    <cellStyle name="Percent 14" xfId="1161" xr:uid="{00000000-0005-0000-0000-0000CD260000}"/>
    <cellStyle name="Percent 15" xfId="1183" xr:uid="{00000000-0005-0000-0000-0000CE260000}"/>
    <cellStyle name="Percent 16" xfId="1166" xr:uid="{00000000-0005-0000-0000-0000CF260000}"/>
    <cellStyle name="Percent 17" xfId="1184" xr:uid="{00000000-0005-0000-0000-0000D0260000}"/>
    <cellStyle name="Percent 18" xfId="1165" xr:uid="{00000000-0005-0000-0000-0000D1260000}"/>
    <cellStyle name="Percent 19" xfId="1185" xr:uid="{00000000-0005-0000-0000-0000D2260000}"/>
    <cellStyle name="Percent 2" xfId="31" xr:uid="{00000000-0005-0000-0000-0000D3260000}"/>
    <cellStyle name="Percent 2 2" xfId="364" xr:uid="{00000000-0005-0000-0000-0000D4260000}"/>
    <cellStyle name="Percent 2 2 2" xfId="420" xr:uid="{00000000-0005-0000-0000-0000D5260000}"/>
    <cellStyle name="Percent 2 2 2 2" xfId="510" xr:uid="{00000000-0005-0000-0000-0000D6260000}"/>
    <cellStyle name="Percent 2 2 3" xfId="534" xr:uid="{00000000-0005-0000-0000-0000D7260000}"/>
    <cellStyle name="Percent 2 3" xfId="410" xr:uid="{00000000-0005-0000-0000-0000D8260000}"/>
    <cellStyle name="Percent 2 3 2" xfId="500" xr:uid="{00000000-0005-0000-0000-0000D9260000}"/>
    <cellStyle name="Percent 2 3 3" xfId="9640" xr:uid="{00000000-0005-0000-0000-0000DA260000}"/>
    <cellStyle name="Percent 2 4" xfId="426" xr:uid="{00000000-0005-0000-0000-0000DB260000}"/>
    <cellStyle name="Percent 2 4 2" xfId="512" xr:uid="{00000000-0005-0000-0000-0000DC260000}"/>
    <cellStyle name="Percent 2 5" xfId="432" xr:uid="{00000000-0005-0000-0000-0000DD260000}"/>
    <cellStyle name="Percent 2 5 2" xfId="517" xr:uid="{00000000-0005-0000-0000-0000DE260000}"/>
    <cellStyle name="Percent 2 6" xfId="439" xr:uid="{00000000-0005-0000-0000-0000DF260000}"/>
    <cellStyle name="Percent 20" xfId="1163" xr:uid="{00000000-0005-0000-0000-0000E0260000}"/>
    <cellStyle name="Percent 21" xfId="1186" xr:uid="{00000000-0005-0000-0000-0000E1260000}"/>
    <cellStyle name="Percent 22" xfId="1162" xr:uid="{00000000-0005-0000-0000-0000E2260000}"/>
    <cellStyle name="Percent 3" xfId="365" xr:uid="{00000000-0005-0000-0000-0000E3260000}"/>
    <cellStyle name="Percent 3 2" xfId="366" xr:uid="{00000000-0005-0000-0000-0000E4260000}"/>
    <cellStyle name="Percent 3 2 2" xfId="555" xr:uid="{00000000-0005-0000-0000-0000E5260000}"/>
    <cellStyle name="Percent 3 3" xfId="533" xr:uid="{00000000-0005-0000-0000-0000E6260000}"/>
    <cellStyle name="Percent 3 3 2" xfId="1111" xr:uid="{00000000-0005-0000-0000-0000E7260000}"/>
    <cellStyle name="Percent 3 4" xfId="1112" xr:uid="{00000000-0005-0000-0000-0000E8260000}"/>
    <cellStyle name="Percent 3 5" xfId="1147" xr:uid="{00000000-0005-0000-0000-0000E9260000}"/>
    <cellStyle name="Percent 3 5 2" xfId="1250" xr:uid="{00000000-0005-0000-0000-0000EA260000}"/>
    <cellStyle name="Percent 4" xfId="10" xr:uid="{00000000-0005-0000-0000-0000EB260000}"/>
    <cellStyle name="Percent 4 2" xfId="367" xr:uid="{00000000-0005-0000-0000-0000EC260000}"/>
    <cellStyle name="Percent 5" xfId="368" xr:uid="{00000000-0005-0000-0000-0000ED260000}"/>
    <cellStyle name="Percent 5 2" xfId="369" xr:uid="{00000000-0005-0000-0000-0000EE260000}"/>
    <cellStyle name="Percent 5 2 2" xfId="370" xr:uid="{00000000-0005-0000-0000-0000EF260000}"/>
    <cellStyle name="Percent 5 3" xfId="371" xr:uid="{00000000-0005-0000-0000-0000F0260000}"/>
    <cellStyle name="Percent 6" xfId="372" xr:uid="{00000000-0005-0000-0000-0000F1260000}"/>
    <cellStyle name="Percent 6 2" xfId="373" xr:uid="{00000000-0005-0000-0000-0000F2260000}"/>
    <cellStyle name="Percent 6 3" xfId="374" xr:uid="{00000000-0005-0000-0000-0000F3260000}"/>
    <cellStyle name="Percent 6 4" xfId="375" xr:uid="{00000000-0005-0000-0000-0000F4260000}"/>
    <cellStyle name="Percent 6 5" xfId="816" xr:uid="{00000000-0005-0000-0000-0000F5260000}"/>
    <cellStyle name="Percent 7" xfId="376" xr:uid="{00000000-0005-0000-0000-0000F6260000}"/>
    <cellStyle name="Percent 7 2" xfId="523" xr:uid="{00000000-0005-0000-0000-0000F7260000}"/>
    <cellStyle name="Percent 7 2 2" xfId="9642" xr:uid="{00000000-0005-0000-0000-0000F8260000}"/>
    <cellStyle name="Percent 7 2 3" xfId="9643" xr:uid="{00000000-0005-0000-0000-0000F9260000}"/>
    <cellStyle name="Percent 7 2 4" xfId="9641" xr:uid="{00000000-0005-0000-0000-0000FA260000}"/>
    <cellStyle name="Percent 7 3" xfId="9644" xr:uid="{00000000-0005-0000-0000-0000FB260000}"/>
    <cellStyle name="Percent 7 4" xfId="9645" xr:uid="{00000000-0005-0000-0000-0000FC260000}"/>
    <cellStyle name="Percent 7 5" xfId="9646" xr:uid="{00000000-0005-0000-0000-0000FD260000}"/>
    <cellStyle name="Percent 8" xfId="528" xr:uid="{00000000-0005-0000-0000-0000FE260000}"/>
    <cellStyle name="Percent 9" xfId="1093" xr:uid="{00000000-0005-0000-0000-0000FF260000}"/>
    <cellStyle name="Percent Input" xfId="817" xr:uid="{00000000-0005-0000-0000-000000270000}"/>
    <cellStyle name="Percent0" xfId="818" xr:uid="{00000000-0005-0000-0000-000001270000}"/>
    <cellStyle name="Percent1" xfId="819" xr:uid="{00000000-0005-0000-0000-000002270000}"/>
    <cellStyle name="Percent2" xfId="820" xr:uid="{00000000-0005-0000-0000-000003270000}"/>
    <cellStyle name="PSChar" xfId="11" xr:uid="{00000000-0005-0000-0000-000004270000}"/>
    <cellStyle name="PSChar 10" xfId="9647" xr:uid="{00000000-0005-0000-0000-000005270000}"/>
    <cellStyle name="PSChar 10 2" xfId="9648" xr:uid="{00000000-0005-0000-0000-000006270000}"/>
    <cellStyle name="PSChar 11" xfId="9649" xr:uid="{00000000-0005-0000-0000-000007270000}"/>
    <cellStyle name="PSChar 11 2" xfId="9650" xr:uid="{00000000-0005-0000-0000-000008270000}"/>
    <cellStyle name="PSChar 12" xfId="9651" xr:uid="{00000000-0005-0000-0000-000009270000}"/>
    <cellStyle name="PSChar 12 2" xfId="9652" xr:uid="{00000000-0005-0000-0000-00000A270000}"/>
    <cellStyle name="PSChar 13" xfId="9653" xr:uid="{00000000-0005-0000-0000-00000B270000}"/>
    <cellStyle name="PSChar 14" xfId="9654" xr:uid="{00000000-0005-0000-0000-00000C270000}"/>
    <cellStyle name="PSChar 14 2" xfId="9655" xr:uid="{00000000-0005-0000-0000-00000D270000}"/>
    <cellStyle name="PSChar 15" xfId="9656" xr:uid="{00000000-0005-0000-0000-00000E270000}"/>
    <cellStyle name="PSChar 16" xfId="9657" xr:uid="{00000000-0005-0000-0000-00000F270000}"/>
    <cellStyle name="PSChar 16 2" xfId="9658" xr:uid="{00000000-0005-0000-0000-000010270000}"/>
    <cellStyle name="PSChar 2" xfId="9659" xr:uid="{00000000-0005-0000-0000-000011270000}"/>
    <cellStyle name="PSChar 2 2" xfId="9660" xr:uid="{00000000-0005-0000-0000-000012270000}"/>
    <cellStyle name="PSChar 3" xfId="9661" xr:uid="{00000000-0005-0000-0000-000013270000}"/>
    <cellStyle name="PSChar 3 2" xfId="9662" xr:uid="{00000000-0005-0000-0000-000014270000}"/>
    <cellStyle name="PSChar 4" xfId="9663" xr:uid="{00000000-0005-0000-0000-000015270000}"/>
    <cellStyle name="PSChar 4 2" xfId="9664" xr:uid="{00000000-0005-0000-0000-000016270000}"/>
    <cellStyle name="PSChar 5" xfId="9665" xr:uid="{00000000-0005-0000-0000-000017270000}"/>
    <cellStyle name="PSChar 5 2" xfId="9666" xr:uid="{00000000-0005-0000-0000-000018270000}"/>
    <cellStyle name="PSChar 6" xfId="9667" xr:uid="{00000000-0005-0000-0000-000019270000}"/>
    <cellStyle name="PSChar 6 2" xfId="9668" xr:uid="{00000000-0005-0000-0000-00001A270000}"/>
    <cellStyle name="PSChar 7" xfId="9669" xr:uid="{00000000-0005-0000-0000-00001B270000}"/>
    <cellStyle name="PSChar 7 2" xfId="9670" xr:uid="{00000000-0005-0000-0000-00001C270000}"/>
    <cellStyle name="PSChar 8" xfId="9671" xr:uid="{00000000-0005-0000-0000-00001D270000}"/>
    <cellStyle name="PSChar 8 2" xfId="9672" xr:uid="{00000000-0005-0000-0000-00001E270000}"/>
    <cellStyle name="PSChar 9" xfId="9673" xr:uid="{00000000-0005-0000-0000-00001F270000}"/>
    <cellStyle name="PSChar 9 2" xfId="9674" xr:uid="{00000000-0005-0000-0000-000020270000}"/>
    <cellStyle name="PSChar 9 2 2" xfId="9675" xr:uid="{00000000-0005-0000-0000-000021270000}"/>
    <cellStyle name="PSChar 9 3" xfId="9676" xr:uid="{00000000-0005-0000-0000-000022270000}"/>
    <cellStyle name="PSDate" xfId="12" xr:uid="{00000000-0005-0000-0000-000023270000}"/>
    <cellStyle name="PSDate 10" xfId="9677" xr:uid="{00000000-0005-0000-0000-000024270000}"/>
    <cellStyle name="PSDate 10 2" xfId="9678" xr:uid="{00000000-0005-0000-0000-000025270000}"/>
    <cellStyle name="PSDate 11" xfId="9679" xr:uid="{00000000-0005-0000-0000-000026270000}"/>
    <cellStyle name="PSDate 11 2" xfId="9680" xr:uid="{00000000-0005-0000-0000-000027270000}"/>
    <cellStyle name="PSDate 12" xfId="9681" xr:uid="{00000000-0005-0000-0000-000028270000}"/>
    <cellStyle name="PSDate 12 2" xfId="9682" xr:uid="{00000000-0005-0000-0000-000029270000}"/>
    <cellStyle name="PSDate 13" xfId="9683" xr:uid="{00000000-0005-0000-0000-00002A270000}"/>
    <cellStyle name="PSDate 14" xfId="9684" xr:uid="{00000000-0005-0000-0000-00002B270000}"/>
    <cellStyle name="PSDate 14 2" xfId="9685" xr:uid="{00000000-0005-0000-0000-00002C270000}"/>
    <cellStyle name="PSDate 15" xfId="9686" xr:uid="{00000000-0005-0000-0000-00002D270000}"/>
    <cellStyle name="PSDate 16" xfId="9687" xr:uid="{00000000-0005-0000-0000-00002E270000}"/>
    <cellStyle name="PSDate 16 2" xfId="9688" xr:uid="{00000000-0005-0000-0000-00002F270000}"/>
    <cellStyle name="PSDate 2" xfId="9689" xr:uid="{00000000-0005-0000-0000-000030270000}"/>
    <cellStyle name="PSDate 2 2" xfId="9690" xr:uid="{00000000-0005-0000-0000-000031270000}"/>
    <cellStyle name="PSDate 3" xfId="9691" xr:uid="{00000000-0005-0000-0000-000032270000}"/>
    <cellStyle name="PSDate 3 2" xfId="9692" xr:uid="{00000000-0005-0000-0000-000033270000}"/>
    <cellStyle name="PSDate 4" xfId="9693" xr:uid="{00000000-0005-0000-0000-000034270000}"/>
    <cellStyle name="PSDate 4 2" xfId="9694" xr:uid="{00000000-0005-0000-0000-000035270000}"/>
    <cellStyle name="PSDate 5" xfId="9695" xr:uid="{00000000-0005-0000-0000-000036270000}"/>
    <cellStyle name="PSDate 5 2" xfId="9696" xr:uid="{00000000-0005-0000-0000-000037270000}"/>
    <cellStyle name="PSDate 6" xfId="9697" xr:uid="{00000000-0005-0000-0000-000038270000}"/>
    <cellStyle name="PSDate 6 2" xfId="9698" xr:uid="{00000000-0005-0000-0000-000039270000}"/>
    <cellStyle name="PSDate 7" xfId="9699" xr:uid="{00000000-0005-0000-0000-00003A270000}"/>
    <cellStyle name="PSDate 7 2" xfId="9700" xr:uid="{00000000-0005-0000-0000-00003B270000}"/>
    <cellStyle name="PSDate 8" xfId="9701" xr:uid="{00000000-0005-0000-0000-00003C270000}"/>
    <cellStyle name="PSDate 8 2" xfId="9702" xr:uid="{00000000-0005-0000-0000-00003D270000}"/>
    <cellStyle name="PSDate 9" xfId="9703" xr:uid="{00000000-0005-0000-0000-00003E270000}"/>
    <cellStyle name="PSDate 9 2" xfId="9704" xr:uid="{00000000-0005-0000-0000-00003F270000}"/>
    <cellStyle name="PSDate 9 2 2" xfId="9705" xr:uid="{00000000-0005-0000-0000-000040270000}"/>
    <cellStyle name="PSDate 9 3" xfId="9706" xr:uid="{00000000-0005-0000-0000-000041270000}"/>
    <cellStyle name="PSDec" xfId="13" xr:uid="{00000000-0005-0000-0000-000042270000}"/>
    <cellStyle name="PSDec 10" xfId="9707" xr:uid="{00000000-0005-0000-0000-000043270000}"/>
    <cellStyle name="PSDec 10 2" xfId="9708" xr:uid="{00000000-0005-0000-0000-000044270000}"/>
    <cellStyle name="PSDec 11" xfId="9709" xr:uid="{00000000-0005-0000-0000-000045270000}"/>
    <cellStyle name="PSDec 11 2" xfId="9710" xr:uid="{00000000-0005-0000-0000-000046270000}"/>
    <cellStyle name="PSDec 12" xfId="9711" xr:uid="{00000000-0005-0000-0000-000047270000}"/>
    <cellStyle name="PSDec 12 2" xfId="9712" xr:uid="{00000000-0005-0000-0000-000048270000}"/>
    <cellStyle name="PSDec 13" xfId="9713" xr:uid="{00000000-0005-0000-0000-000049270000}"/>
    <cellStyle name="PSDec 14" xfId="9714" xr:uid="{00000000-0005-0000-0000-00004A270000}"/>
    <cellStyle name="PSDec 14 2" xfId="9715" xr:uid="{00000000-0005-0000-0000-00004B270000}"/>
    <cellStyle name="PSDec 15" xfId="9716" xr:uid="{00000000-0005-0000-0000-00004C270000}"/>
    <cellStyle name="PSDec 16" xfId="9717" xr:uid="{00000000-0005-0000-0000-00004D270000}"/>
    <cellStyle name="PSDec 16 2" xfId="9718" xr:uid="{00000000-0005-0000-0000-00004E270000}"/>
    <cellStyle name="PSDec 2" xfId="9719" xr:uid="{00000000-0005-0000-0000-00004F270000}"/>
    <cellStyle name="PSDec 2 2" xfId="9720" xr:uid="{00000000-0005-0000-0000-000050270000}"/>
    <cellStyle name="PSDec 3" xfId="9721" xr:uid="{00000000-0005-0000-0000-000051270000}"/>
    <cellStyle name="PSDec 3 2" xfId="9722" xr:uid="{00000000-0005-0000-0000-000052270000}"/>
    <cellStyle name="PSDec 4" xfId="9723" xr:uid="{00000000-0005-0000-0000-000053270000}"/>
    <cellStyle name="PSDec 4 2" xfId="9724" xr:uid="{00000000-0005-0000-0000-000054270000}"/>
    <cellStyle name="PSDec 5" xfId="9725" xr:uid="{00000000-0005-0000-0000-000055270000}"/>
    <cellStyle name="PSDec 5 2" xfId="9726" xr:uid="{00000000-0005-0000-0000-000056270000}"/>
    <cellStyle name="PSDec 6" xfId="9727" xr:uid="{00000000-0005-0000-0000-000057270000}"/>
    <cellStyle name="PSDec 6 2" xfId="9728" xr:uid="{00000000-0005-0000-0000-000058270000}"/>
    <cellStyle name="PSDec 7" xfId="9729" xr:uid="{00000000-0005-0000-0000-000059270000}"/>
    <cellStyle name="PSDec 7 2" xfId="9730" xr:uid="{00000000-0005-0000-0000-00005A270000}"/>
    <cellStyle name="PSDec 8" xfId="9731" xr:uid="{00000000-0005-0000-0000-00005B270000}"/>
    <cellStyle name="PSDec 8 2" xfId="9732" xr:uid="{00000000-0005-0000-0000-00005C270000}"/>
    <cellStyle name="PSDec 9" xfId="9733" xr:uid="{00000000-0005-0000-0000-00005D270000}"/>
    <cellStyle name="PSDec 9 2" xfId="9734" xr:uid="{00000000-0005-0000-0000-00005E270000}"/>
    <cellStyle name="PSDec 9 2 2" xfId="9735" xr:uid="{00000000-0005-0000-0000-00005F270000}"/>
    <cellStyle name="PSDec 9 3" xfId="9736" xr:uid="{00000000-0005-0000-0000-000060270000}"/>
    <cellStyle name="PSdesc" xfId="821" xr:uid="{00000000-0005-0000-0000-000061270000}"/>
    <cellStyle name="PSHeading" xfId="14" xr:uid="{00000000-0005-0000-0000-000062270000}"/>
    <cellStyle name="PSHeading 10" xfId="9737" xr:uid="{00000000-0005-0000-0000-000063270000}"/>
    <cellStyle name="PSHeading 10 2" xfId="9738" xr:uid="{00000000-0005-0000-0000-000064270000}"/>
    <cellStyle name="PSHeading 10 2 2" xfId="10297" xr:uid="{00000000-0005-0000-0000-000065270000}"/>
    <cellStyle name="PSHeading 10 3" xfId="10296" xr:uid="{00000000-0005-0000-0000-000066270000}"/>
    <cellStyle name="PSHeading 11" xfId="9739" xr:uid="{00000000-0005-0000-0000-000067270000}"/>
    <cellStyle name="PSHeading 11 2" xfId="9740" xr:uid="{00000000-0005-0000-0000-000068270000}"/>
    <cellStyle name="PSHeading 11 2 2" xfId="9741" xr:uid="{00000000-0005-0000-0000-000069270000}"/>
    <cellStyle name="PSHeading 11 2 2 2" xfId="10300" xr:uid="{00000000-0005-0000-0000-00006A270000}"/>
    <cellStyle name="PSHeading 11 2 3" xfId="10299" xr:uid="{00000000-0005-0000-0000-00006B270000}"/>
    <cellStyle name="PSHeading 11 3" xfId="9742" xr:uid="{00000000-0005-0000-0000-00006C270000}"/>
    <cellStyle name="PSHeading 11 3 2" xfId="10301" xr:uid="{00000000-0005-0000-0000-00006D270000}"/>
    <cellStyle name="PSHeading 11 4" xfId="10298" xr:uid="{00000000-0005-0000-0000-00006E270000}"/>
    <cellStyle name="PSHeading 12" xfId="9743" xr:uid="{00000000-0005-0000-0000-00006F270000}"/>
    <cellStyle name="PSHeading 12 2" xfId="9744" xr:uid="{00000000-0005-0000-0000-000070270000}"/>
    <cellStyle name="PSHeading 12 2 2" xfId="10303" xr:uid="{00000000-0005-0000-0000-000071270000}"/>
    <cellStyle name="PSHeading 12 3" xfId="10302" xr:uid="{00000000-0005-0000-0000-000072270000}"/>
    <cellStyle name="PSHeading 13" xfId="9745" xr:uid="{00000000-0005-0000-0000-000073270000}"/>
    <cellStyle name="PSHeading 13 2" xfId="9746" xr:uid="{00000000-0005-0000-0000-000074270000}"/>
    <cellStyle name="PSHeading 13 2 2" xfId="10305" xr:uid="{00000000-0005-0000-0000-000075270000}"/>
    <cellStyle name="PSHeading 13 3" xfId="10304" xr:uid="{00000000-0005-0000-0000-000076270000}"/>
    <cellStyle name="PSHeading 14" xfId="9747" xr:uid="{00000000-0005-0000-0000-000077270000}"/>
    <cellStyle name="PSHeading 14 2" xfId="9748" xr:uid="{00000000-0005-0000-0000-000078270000}"/>
    <cellStyle name="PSHeading 14 2 2" xfId="10307" xr:uid="{00000000-0005-0000-0000-000079270000}"/>
    <cellStyle name="PSHeading 14 3" xfId="10306" xr:uid="{00000000-0005-0000-0000-00007A270000}"/>
    <cellStyle name="PSHeading 15" xfId="9749" xr:uid="{00000000-0005-0000-0000-00007B270000}"/>
    <cellStyle name="PSHeading 15 2" xfId="10308" xr:uid="{00000000-0005-0000-0000-00007C270000}"/>
    <cellStyle name="PSHeading 16" xfId="9750" xr:uid="{00000000-0005-0000-0000-00007D270000}"/>
    <cellStyle name="PSHeading 16 2" xfId="9751" xr:uid="{00000000-0005-0000-0000-00007E270000}"/>
    <cellStyle name="PSHeading 16 2 2" xfId="10310" xr:uid="{00000000-0005-0000-0000-00007F270000}"/>
    <cellStyle name="PSHeading 16 3" xfId="10309" xr:uid="{00000000-0005-0000-0000-000080270000}"/>
    <cellStyle name="PSHeading 17" xfId="9752" xr:uid="{00000000-0005-0000-0000-000081270000}"/>
    <cellStyle name="PSHeading 17 2" xfId="10311" xr:uid="{00000000-0005-0000-0000-000082270000}"/>
    <cellStyle name="PSHeading 18" xfId="9753" xr:uid="{00000000-0005-0000-0000-000083270000}"/>
    <cellStyle name="PSHeading 18 2" xfId="10312" xr:uid="{00000000-0005-0000-0000-000084270000}"/>
    <cellStyle name="PSHeading 19" xfId="9754" xr:uid="{00000000-0005-0000-0000-000085270000}"/>
    <cellStyle name="PSHeading 19 2" xfId="9755" xr:uid="{00000000-0005-0000-0000-000086270000}"/>
    <cellStyle name="PSHeading 19 2 2" xfId="10314" xr:uid="{00000000-0005-0000-0000-000087270000}"/>
    <cellStyle name="PSHeading 19 3" xfId="9756" xr:uid="{00000000-0005-0000-0000-000088270000}"/>
    <cellStyle name="PSHeading 19 3 2" xfId="10315" xr:uid="{00000000-0005-0000-0000-000089270000}"/>
    <cellStyle name="PSHeading 19 4" xfId="10313" xr:uid="{00000000-0005-0000-0000-00008A270000}"/>
    <cellStyle name="PSHeading 2" xfId="9757" xr:uid="{00000000-0005-0000-0000-00008B270000}"/>
    <cellStyle name="PSHeading 2 2" xfId="9758" xr:uid="{00000000-0005-0000-0000-00008C270000}"/>
    <cellStyle name="PSHeading 2 2 2" xfId="10317" xr:uid="{00000000-0005-0000-0000-00008D270000}"/>
    <cellStyle name="PSHeading 2 3" xfId="10316" xr:uid="{00000000-0005-0000-0000-00008E270000}"/>
    <cellStyle name="PSHeading 20" xfId="9759" xr:uid="{00000000-0005-0000-0000-00008F270000}"/>
    <cellStyle name="PSHeading 20 2" xfId="9760" xr:uid="{00000000-0005-0000-0000-000090270000}"/>
    <cellStyle name="PSHeading 20 2 2" xfId="10319" xr:uid="{00000000-0005-0000-0000-000091270000}"/>
    <cellStyle name="PSHeading 20 3" xfId="10318" xr:uid="{00000000-0005-0000-0000-000092270000}"/>
    <cellStyle name="PSHeading 21" xfId="9871" xr:uid="{00000000-0005-0000-0000-000093270000}"/>
    <cellStyle name="PSHeading 3" xfId="9761" xr:uid="{00000000-0005-0000-0000-000094270000}"/>
    <cellStyle name="PSHeading 3 2" xfId="9762" xr:uid="{00000000-0005-0000-0000-000095270000}"/>
    <cellStyle name="PSHeading 3 2 2" xfId="10321" xr:uid="{00000000-0005-0000-0000-000096270000}"/>
    <cellStyle name="PSHeading 3 3" xfId="10320" xr:uid="{00000000-0005-0000-0000-000097270000}"/>
    <cellStyle name="PSHeading 4" xfId="9763" xr:uid="{00000000-0005-0000-0000-000098270000}"/>
    <cellStyle name="PSHeading 4 2" xfId="9764" xr:uid="{00000000-0005-0000-0000-000099270000}"/>
    <cellStyle name="PSHeading 4 2 2" xfId="10323" xr:uid="{00000000-0005-0000-0000-00009A270000}"/>
    <cellStyle name="PSHeading 4 3" xfId="10322" xr:uid="{00000000-0005-0000-0000-00009B270000}"/>
    <cellStyle name="PSHeading 5" xfId="9765" xr:uid="{00000000-0005-0000-0000-00009C270000}"/>
    <cellStyle name="PSHeading 5 2" xfId="9766" xr:uid="{00000000-0005-0000-0000-00009D270000}"/>
    <cellStyle name="PSHeading 5 2 2" xfId="10325" xr:uid="{00000000-0005-0000-0000-00009E270000}"/>
    <cellStyle name="PSHeading 5 3" xfId="10324" xr:uid="{00000000-0005-0000-0000-00009F270000}"/>
    <cellStyle name="PSHeading 6" xfId="9767" xr:uid="{00000000-0005-0000-0000-0000A0270000}"/>
    <cellStyle name="PSHeading 6 2" xfId="9768" xr:uid="{00000000-0005-0000-0000-0000A1270000}"/>
    <cellStyle name="PSHeading 6 2 2" xfId="10327" xr:uid="{00000000-0005-0000-0000-0000A2270000}"/>
    <cellStyle name="PSHeading 6 3" xfId="10326" xr:uid="{00000000-0005-0000-0000-0000A3270000}"/>
    <cellStyle name="PSHeading 7" xfId="9769" xr:uid="{00000000-0005-0000-0000-0000A4270000}"/>
    <cellStyle name="PSHeading 7 2" xfId="9770" xr:uid="{00000000-0005-0000-0000-0000A5270000}"/>
    <cellStyle name="PSHeading 7 2 2" xfId="10329" xr:uid="{00000000-0005-0000-0000-0000A6270000}"/>
    <cellStyle name="PSHeading 7 3" xfId="10328" xr:uid="{00000000-0005-0000-0000-0000A7270000}"/>
    <cellStyle name="PSHeading 8" xfId="9771" xr:uid="{00000000-0005-0000-0000-0000A8270000}"/>
    <cellStyle name="PSHeading 8 2" xfId="9772" xr:uid="{00000000-0005-0000-0000-0000A9270000}"/>
    <cellStyle name="PSHeading 8 2 2" xfId="10331" xr:uid="{00000000-0005-0000-0000-0000AA270000}"/>
    <cellStyle name="PSHeading 8 3" xfId="10330" xr:uid="{00000000-0005-0000-0000-0000AB270000}"/>
    <cellStyle name="PSHeading 9" xfId="9773" xr:uid="{00000000-0005-0000-0000-0000AC270000}"/>
    <cellStyle name="PSHeading 9 2" xfId="10332" xr:uid="{00000000-0005-0000-0000-0000AD270000}"/>
    <cellStyle name="PSHeading_July prelim tb" xfId="9774" xr:uid="{00000000-0005-0000-0000-0000AE270000}"/>
    <cellStyle name="PSInt" xfId="15" xr:uid="{00000000-0005-0000-0000-0000AF270000}"/>
    <cellStyle name="PSInt 10" xfId="9775" xr:uid="{00000000-0005-0000-0000-0000B0270000}"/>
    <cellStyle name="PSInt 10 2" xfId="9776" xr:uid="{00000000-0005-0000-0000-0000B1270000}"/>
    <cellStyle name="PSInt 11" xfId="9777" xr:uid="{00000000-0005-0000-0000-0000B2270000}"/>
    <cellStyle name="PSInt 11 2" xfId="9778" xr:uid="{00000000-0005-0000-0000-0000B3270000}"/>
    <cellStyle name="PSInt 12" xfId="9779" xr:uid="{00000000-0005-0000-0000-0000B4270000}"/>
    <cellStyle name="PSInt 12 2" xfId="9780" xr:uid="{00000000-0005-0000-0000-0000B5270000}"/>
    <cellStyle name="PSInt 13" xfId="9781" xr:uid="{00000000-0005-0000-0000-0000B6270000}"/>
    <cellStyle name="PSInt 14" xfId="9782" xr:uid="{00000000-0005-0000-0000-0000B7270000}"/>
    <cellStyle name="PSInt 14 2" xfId="9783" xr:uid="{00000000-0005-0000-0000-0000B8270000}"/>
    <cellStyle name="PSInt 15" xfId="9784" xr:uid="{00000000-0005-0000-0000-0000B9270000}"/>
    <cellStyle name="PSInt 16" xfId="9785" xr:uid="{00000000-0005-0000-0000-0000BA270000}"/>
    <cellStyle name="PSInt 16 2" xfId="9786" xr:uid="{00000000-0005-0000-0000-0000BB270000}"/>
    <cellStyle name="PSInt 2" xfId="9787" xr:uid="{00000000-0005-0000-0000-0000BC270000}"/>
    <cellStyle name="PSInt 2 2" xfId="9788" xr:uid="{00000000-0005-0000-0000-0000BD270000}"/>
    <cellStyle name="PSInt 3" xfId="9789" xr:uid="{00000000-0005-0000-0000-0000BE270000}"/>
    <cellStyle name="PSInt 3 2" xfId="9790" xr:uid="{00000000-0005-0000-0000-0000BF270000}"/>
    <cellStyle name="PSInt 4" xfId="9791" xr:uid="{00000000-0005-0000-0000-0000C0270000}"/>
    <cellStyle name="PSInt 4 2" xfId="9792" xr:uid="{00000000-0005-0000-0000-0000C1270000}"/>
    <cellStyle name="PSInt 5" xfId="9793" xr:uid="{00000000-0005-0000-0000-0000C2270000}"/>
    <cellStyle name="PSInt 5 2" xfId="9794" xr:uid="{00000000-0005-0000-0000-0000C3270000}"/>
    <cellStyle name="PSInt 6" xfId="9795" xr:uid="{00000000-0005-0000-0000-0000C4270000}"/>
    <cellStyle name="PSInt 6 2" xfId="9796" xr:uid="{00000000-0005-0000-0000-0000C5270000}"/>
    <cellStyle name="PSInt 7" xfId="9797" xr:uid="{00000000-0005-0000-0000-0000C6270000}"/>
    <cellStyle name="PSInt 7 2" xfId="9798" xr:uid="{00000000-0005-0000-0000-0000C7270000}"/>
    <cellStyle name="PSInt 8" xfId="9799" xr:uid="{00000000-0005-0000-0000-0000C8270000}"/>
    <cellStyle name="PSInt 8 2" xfId="9800" xr:uid="{00000000-0005-0000-0000-0000C9270000}"/>
    <cellStyle name="PSInt 9" xfId="9801" xr:uid="{00000000-0005-0000-0000-0000CA270000}"/>
    <cellStyle name="PSInt 9 2" xfId="9802" xr:uid="{00000000-0005-0000-0000-0000CB270000}"/>
    <cellStyle name="PSInt 9 2 2" xfId="9803" xr:uid="{00000000-0005-0000-0000-0000CC270000}"/>
    <cellStyle name="PSInt 9 3" xfId="9804" xr:uid="{00000000-0005-0000-0000-0000CD270000}"/>
    <cellStyle name="PSSpacer" xfId="16" xr:uid="{00000000-0005-0000-0000-0000CE270000}"/>
    <cellStyle name="PSSpacer 10" xfId="9805" xr:uid="{00000000-0005-0000-0000-0000CF270000}"/>
    <cellStyle name="PSSpacer 10 2" xfId="9806" xr:uid="{00000000-0005-0000-0000-0000D0270000}"/>
    <cellStyle name="PSSpacer 11" xfId="9807" xr:uid="{00000000-0005-0000-0000-0000D1270000}"/>
    <cellStyle name="PSSpacer 11 2" xfId="9808" xr:uid="{00000000-0005-0000-0000-0000D2270000}"/>
    <cellStyle name="PSSpacer 12" xfId="9809" xr:uid="{00000000-0005-0000-0000-0000D3270000}"/>
    <cellStyle name="PSSpacer 13" xfId="9810" xr:uid="{00000000-0005-0000-0000-0000D4270000}"/>
    <cellStyle name="PSSpacer 13 2" xfId="9811" xr:uid="{00000000-0005-0000-0000-0000D5270000}"/>
    <cellStyle name="PSSpacer 14" xfId="9812" xr:uid="{00000000-0005-0000-0000-0000D6270000}"/>
    <cellStyle name="PSSpacer 15" xfId="9813" xr:uid="{00000000-0005-0000-0000-0000D7270000}"/>
    <cellStyle name="PSSpacer 15 2" xfId="9814" xr:uid="{00000000-0005-0000-0000-0000D8270000}"/>
    <cellStyle name="PSSpacer 2" xfId="9815" xr:uid="{00000000-0005-0000-0000-0000D9270000}"/>
    <cellStyle name="PSSpacer 2 2" xfId="9816" xr:uid="{00000000-0005-0000-0000-0000DA270000}"/>
    <cellStyle name="PSSpacer 3" xfId="9817" xr:uid="{00000000-0005-0000-0000-0000DB270000}"/>
    <cellStyle name="PSSpacer 3 2" xfId="9818" xr:uid="{00000000-0005-0000-0000-0000DC270000}"/>
    <cellStyle name="PSSpacer 4" xfId="9819" xr:uid="{00000000-0005-0000-0000-0000DD270000}"/>
    <cellStyle name="PSSpacer 4 2" xfId="9820" xr:uid="{00000000-0005-0000-0000-0000DE270000}"/>
    <cellStyle name="PSSpacer 5" xfId="9821" xr:uid="{00000000-0005-0000-0000-0000DF270000}"/>
    <cellStyle name="PSSpacer 5 2" xfId="9822" xr:uid="{00000000-0005-0000-0000-0000E0270000}"/>
    <cellStyle name="PSSpacer 6" xfId="9823" xr:uid="{00000000-0005-0000-0000-0000E1270000}"/>
    <cellStyle name="PSSpacer 6 2" xfId="9824" xr:uid="{00000000-0005-0000-0000-0000E2270000}"/>
    <cellStyle name="PSSpacer 7" xfId="9825" xr:uid="{00000000-0005-0000-0000-0000E3270000}"/>
    <cellStyle name="PSSpacer 7 2" xfId="9826" xr:uid="{00000000-0005-0000-0000-0000E4270000}"/>
    <cellStyle name="PSSpacer 8" xfId="9827" xr:uid="{00000000-0005-0000-0000-0000E5270000}"/>
    <cellStyle name="PSSpacer 8 2" xfId="9828" xr:uid="{00000000-0005-0000-0000-0000E6270000}"/>
    <cellStyle name="PSSpacer 8 2 2" xfId="9829" xr:uid="{00000000-0005-0000-0000-0000E7270000}"/>
    <cellStyle name="PSSpacer 8 3" xfId="9830" xr:uid="{00000000-0005-0000-0000-0000E8270000}"/>
    <cellStyle name="PSSpacer 9" xfId="9831" xr:uid="{00000000-0005-0000-0000-0000E9270000}"/>
    <cellStyle name="PSSpacer 9 2" xfId="9832" xr:uid="{00000000-0005-0000-0000-0000EA270000}"/>
    <cellStyle name="PStest" xfId="823" xr:uid="{00000000-0005-0000-0000-0000EB270000}"/>
    <cellStyle name="QUESTION" xfId="377" xr:uid="{00000000-0005-0000-0000-0000EC270000}"/>
    <cellStyle name="R00A" xfId="824" xr:uid="{00000000-0005-0000-0000-0000ED270000}"/>
    <cellStyle name="R00B" xfId="825" xr:uid="{00000000-0005-0000-0000-0000EE270000}"/>
    <cellStyle name="R00L" xfId="826" xr:uid="{00000000-0005-0000-0000-0000EF270000}"/>
    <cellStyle name="R01A" xfId="827" xr:uid="{00000000-0005-0000-0000-0000F0270000}"/>
    <cellStyle name="R01B" xfId="828" xr:uid="{00000000-0005-0000-0000-0000F1270000}"/>
    <cellStyle name="R01H" xfId="829" xr:uid="{00000000-0005-0000-0000-0000F2270000}"/>
    <cellStyle name="R01L" xfId="830" xr:uid="{00000000-0005-0000-0000-0000F3270000}"/>
    <cellStyle name="R02A" xfId="831" xr:uid="{00000000-0005-0000-0000-0000F4270000}"/>
    <cellStyle name="R02B" xfId="832" xr:uid="{00000000-0005-0000-0000-0000F5270000}"/>
    <cellStyle name="R02H" xfId="833" xr:uid="{00000000-0005-0000-0000-0000F6270000}"/>
    <cellStyle name="R02L" xfId="834" xr:uid="{00000000-0005-0000-0000-0000F7270000}"/>
    <cellStyle name="R03A" xfId="835" xr:uid="{00000000-0005-0000-0000-0000F8270000}"/>
    <cellStyle name="R03B" xfId="836" xr:uid="{00000000-0005-0000-0000-0000F9270000}"/>
    <cellStyle name="R03H" xfId="837" xr:uid="{00000000-0005-0000-0000-0000FA270000}"/>
    <cellStyle name="R03L" xfId="838" xr:uid="{00000000-0005-0000-0000-0000FB270000}"/>
    <cellStyle name="R04A" xfId="839" xr:uid="{00000000-0005-0000-0000-0000FC270000}"/>
    <cellStyle name="R04B" xfId="840" xr:uid="{00000000-0005-0000-0000-0000FD270000}"/>
    <cellStyle name="R04H" xfId="841" xr:uid="{00000000-0005-0000-0000-0000FE270000}"/>
    <cellStyle name="R04L" xfId="842" xr:uid="{00000000-0005-0000-0000-0000FF270000}"/>
    <cellStyle name="R05A" xfId="843" xr:uid="{00000000-0005-0000-0000-000000280000}"/>
    <cellStyle name="R05B" xfId="844" xr:uid="{00000000-0005-0000-0000-000001280000}"/>
    <cellStyle name="R05H" xfId="845" xr:uid="{00000000-0005-0000-0000-000002280000}"/>
    <cellStyle name="R05L" xfId="846" xr:uid="{00000000-0005-0000-0000-000003280000}"/>
    <cellStyle name="R05L 2" xfId="847" xr:uid="{00000000-0005-0000-0000-000004280000}"/>
    <cellStyle name="R06A" xfId="848" xr:uid="{00000000-0005-0000-0000-000005280000}"/>
    <cellStyle name="R06B" xfId="849" xr:uid="{00000000-0005-0000-0000-000006280000}"/>
    <cellStyle name="R06H" xfId="850" xr:uid="{00000000-0005-0000-0000-000007280000}"/>
    <cellStyle name="R06L" xfId="851" xr:uid="{00000000-0005-0000-0000-000008280000}"/>
    <cellStyle name="R07A" xfId="852" xr:uid="{00000000-0005-0000-0000-000009280000}"/>
    <cellStyle name="R07B" xfId="853" xr:uid="{00000000-0005-0000-0000-00000A280000}"/>
    <cellStyle name="R07H" xfId="854" xr:uid="{00000000-0005-0000-0000-00000B280000}"/>
    <cellStyle name="R07L" xfId="855" xr:uid="{00000000-0005-0000-0000-00000C280000}"/>
    <cellStyle name="rborder" xfId="856" xr:uid="{00000000-0005-0000-0000-00000D280000}"/>
    <cellStyle name="red" xfId="857" xr:uid="{00000000-0005-0000-0000-00000E280000}"/>
    <cellStyle name="s_HardInc " xfId="858" xr:uid="{00000000-0005-0000-0000-00000F280000}"/>
    <cellStyle name="s_HardInc _ITC Great Plains Formula 1-12-09a" xfId="859" xr:uid="{00000000-0005-0000-0000-000010280000}"/>
    <cellStyle name="SAPBEXaggData" xfId="378" xr:uid="{00000000-0005-0000-0000-000011280000}"/>
    <cellStyle name="SAPBEXaggItem" xfId="379" xr:uid="{00000000-0005-0000-0000-000012280000}"/>
    <cellStyle name="SAPBEXaggItemX" xfId="380" xr:uid="{00000000-0005-0000-0000-000013280000}"/>
    <cellStyle name="SAPBEXchaText" xfId="381" xr:uid="{00000000-0005-0000-0000-000014280000}"/>
    <cellStyle name="SAPBEXchaText 2" xfId="382" xr:uid="{00000000-0005-0000-0000-000015280000}"/>
    <cellStyle name="SAPBEXchaText 2 2" xfId="383" xr:uid="{00000000-0005-0000-0000-000016280000}"/>
    <cellStyle name="SAPBEXchaText 3" xfId="384" xr:uid="{00000000-0005-0000-0000-000017280000}"/>
    <cellStyle name="SAPBEXHLevel2 11 2" xfId="385" xr:uid="{00000000-0005-0000-0000-000018280000}"/>
    <cellStyle name="SAPBEXHLevel2 12 2" xfId="386" xr:uid="{00000000-0005-0000-0000-000019280000}"/>
    <cellStyle name="SAPBEXstdData" xfId="387" xr:uid="{00000000-0005-0000-0000-00001A280000}"/>
    <cellStyle name="SAPBEXstdItem" xfId="388" xr:uid="{00000000-0005-0000-0000-00001B280000}"/>
    <cellStyle name="SAPBEXstdItem 2" xfId="389" xr:uid="{00000000-0005-0000-0000-00001C280000}"/>
    <cellStyle name="SAPBEXstdItem 2 2" xfId="390" xr:uid="{00000000-0005-0000-0000-00001D280000}"/>
    <cellStyle name="SAPBEXstdItem 3" xfId="391" xr:uid="{00000000-0005-0000-0000-00001E280000}"/>
    <cellStyle name="SAPBEXstdItemX" xfId="392" xr:uid="{00000000-0005-0000-0000-00001F280000}"/>
    <cellStyle name="SAPBEXstdItemX 2" xfId="393" xr:uid="{00000000-0005-0000-0000-000020280000}"/>
    <cellStyle name="SAPBEXstdItemX 2 2" xfId="394" xr:uid="{00000000-0005-0000-0000-000021280000}"/>
    <cellStyle name="SAPBEXstdItemX 3" xfId="395" xr:uid="{00000000-0005-0000-0000-000022280000}"/>
    <cellStyle name="scenario" xfId="860" xr:uid="{00000000-0005-0000-0000-000023280000}"/>
    <cellStyle name="scenario 2" xfId="9872" xr:uid="{00000000-0005-0000-0000-000024280000}"/>
    <cellStyle name="SECTION" xfId="17" xr:uid="{00000000-0005-0000-0000-000025280000}"/>
    <cellStyle name="Sheetmult" xfId="861" xr:uid="{00000000-0005-0000-0000-000026280000}"/>
    <cellStyle name="Shtmultx" xfId="862" xr:uid="{00000000-0005-0000-0000-000027280000}"/>
    <cellStyle name="Style 1" xfId="396" xr:uid="{00000000-0005-0000-0000-000028280000}"/>
    <cellStyle name="Style 1 2" xfId="863" xr:uid="{00000000-0005-0000-0000-000029280000}"/>
    <cellStyle name="STYLE1" xfId="864" xr:uid="{00000000-0005-0000-0000-00002A280000}"/>
    <cellStyle name="STYLE2" xfId="865" xr:uid="{00000000-0005-0000-0000-00002B280000}"/>
    <cellStyle name="System Defined" xfId="18" xr:uid="{00000000-0005-0000-0000-00002C280000}"/>
    <cellStyle name="TableHeading" xfId="866" xr:uid="{00000000-0005-0000-0000-00002D280000}"/>
    <cellStyle name="tb" xfId="867" xr:uid="{00000000-0005-0000-0000-00002E280000}"/>
    <cellStyle name="TemplateStyle" xfId="397" xr:uid="{00000000-0005-0000-0000-00002F280000}"/>
    <cellStyle name="Tickmark" xfId="868" xr:uid="{00000000-0005-0000-0000-000030280000}"/>
    <cellStyle name="Title 2" xfId="398" xr:uid="{00000000-0005-0000-0000-000031280000}"/>
    <cellStyle name="Title 2 2" xfId="399" xr:uid="{00000000-0005-0000-0000-000032280000}"/>
    <cellStyle name="Title 3" xfId="9833" xr:uid="{00000000-0005-0000-0000-000033280000}"/>
    <cellStyle name="Title 4" xfId="9834" xr:uid="{00000000-0005-0000-0000-000034280000}"/>
    <cellStyle name="Title 5" xfId="9835" xr:uid="{00000000-0005-0000-0000-000035280000}"/>
    <cellStyle name="Title 6" xfId="9836" xr:uid="{00000000-0005-0000-0000-000036280000}"/>
    <cellStyle name="Title 7" xfId="9837" xr:uid="{00000000-0005-0000-0000-000037280000}"/>
    <cellStyle name="Title 8" xfId="9838" xr:uid="{00000000-0005-0000-0000-000038280000}"/>
    <cellStyle name="Title1" xfId="869" xr:uid="{00000000-0005-0000-0000-000039280000}"/>
    <cellStyle name="top" xfId="870" xr:uid="{00000000-0005-0000-0000-00003A280000}"/>
    <cellStyle name="Total 2" xfId="400" xr:uid="{00000000-0005-0000-0000-00003B280000}"/>
    <cellStyle name="Total 2 2" xfId="401" xr:uid="{00000000-0005-0000-0000-00003C280000}"/>
    <cellStyle name="Total 2 2 2" xfId="9840" xr:uid="{00000000-0005-0000-0000-00003D280000}"/>
    <cellStyle name="Total 2 3" xfId="402" xr:uid="{00000000-0005-0000-0000-00003E280000}"/>
    <cellStyle name="Total 2 4" xfId="403" xr:uid="{00000000-0005-0000-0000-00003F280000}"/>
    <cellStyle name="Total 2 5" xfId="9839" xr:uid="{00000000-0005-0000-0000-000040280000}"/>
    <cellStyle name="Total 3" xfId="9841" xr:uid="{00000000-0005-0000-0000-000041280000}"/>
    <cellStyle name="Total 4" xfId="9842" xr:uid="{00000000-0005-0000-0000-000042280000}"/>
    <cellStyle name="Total 5" xfId="9843" xr:uid="{00000000-0005-0000-0000-000043280000}"/>
    <cellStyle name="Total 6" xfId="9844" xr:uid="{00000000-0005-0000-0000-000044280000}"/>
    <cellStyle name="Total 7" xfId="9845" xr:uid="{00000000-0005-0000-0000-000045280000}"/>
    <cellStyle name="Total 8" xfId="9846" xr:uid="{00000000-0005-0000-0000-000046280000}"/>
    <cellStyle name="Total 9" xfId="871" xr:uid="{00000000-0005-0000-0000-000047280000}"/>
    <cellStyle name="w" xfId="872" xr:uid="{00000000-0005-0000-0000-000048280000}"/>
    <cellStyle name="Warning Text 2" xfId="404" xr:uid="{00000000-0005-0000-0000-000049280000}"/>
    <cellStyle name="Warning Text 2 2" xfId="405" xr:uid="{00000000-0005-0000-0000-00004A280000}"/>
    <cellStyle name="Warning Text 2 2 2" xfId="9847" xr:uid="{00000000-0005-0000-0000-00004B280000}"/>
    <cellStyle name="Warning Text 2 3" xfId="406" xr:uid="{00000000-0005-0000-0000-00004C280000}"/>
    <cellStyle name="Warning Text 2 4" xfId="1117" xr:uid="{00000000-0005-0000-0000-00004D280000}"/>
    <cellStyle name="Warning Text 3" xfId="9848" xr:uid="{00000000-0005-0000-0000-00004E280000}"/>
    <cellStyle name="Warning Text 4" xfId="9849" xr:uid="{00000000-0005-0000-0000-00004F280000}"/>
    <cellStyle name="Warning Text 5" xfId="9850" xr:uid="{00000000-0005-0000-0000-000050280000}"/>
    <cellStyle name="Warning Text 6" xfId="9851" xr:uid="{00000000-0005-0000-0000-000051280000}"/>
    <cellStyle name="Warning Text 7" xfId="9852" xr:uid="{00000000-0005-0000-0000-000052280000}"/>
    <cellStyle name="Warning Text 8" xfId="9853" xr:uid="{00000000-0005-0000-0000-000053280000}"/>
    <cellStyle name="Warning Text 9" xfId="9854" xr:uid="{00000000-0005-0000-0000-000054280000}"/>
    <cellStyle name="XComma" xfId="873" xr:uid="{00000000-0005-0000-0000-000055280000}"/>
    <cellStyle name="XComma 0.0" xfId="874" xr:uid="{00000000-0005-0000-0000-000056280000}"/>
    <cellStyle name="XComma 0.00" xfId="875" xr:uid="{00000000-0005-0000-0000-000057280000}"/>
    <cellStyle name="XComma 0.000" xfId="876" xr:uid="{00000000-0005-0000-0000-000058280000}"/>
    <cellStyle name="XCurrency" xfId="877" xr:uid="{00000000-0005-0000-0000-000059280000}"/>
    <cellStyle name="XCurrency 0.0" xfId="878" xr:uid="{00000000-0005-0000-0000-00005A280000}"/>
    <cellStyle name="XCurrency 0.00" xfId="879" xr:uid="{00000000-0005-0000-0000-00005B280000}"/>
    <cellStyle name="XCurrency 0.000" xfId="880" xr:uid="{00000000-0005-0000-0000-00005C280000}"/>
    <cellStyle name="yra" xfId="881" xr:uid="{00000000-0005-0000-0000-00005D280000}"/>
    <cellStyle name="yrActual" xfId="882" xr:uid="{00000000-0005-0000-0000-00005E280000}"/>
    <cellStyle name="yre" xfId="883" xr:uid="{00000000-0005-0000-0000-00005F280000}"/>
    <cellStyle name="yrExpect" xfId="884" xr:uid="{00000000-0005-0000-0000-000060280000}"/>
  </cellStyles>
  <dxfs count="0"/>
  <tableStyles count="0" defaultTableStyle="TableStyleMedium9" defaultPivotStyle="PivotStyleLight16"/>
  <colors>
    <mruColors>
      <color rgb="FFFFFF99"/>
      <color rgb="FFD60093"/>
      <color rgb="FF33CC33"/>
      <color rgb="FF81428E"/>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externalLink" Target="externalLinks/externalLink2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styles" Target="styles.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theme" Target="theme/theme1.xml"/><Relationship Id="rId60"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P%20Data/2007/SAFETY/ED_Sept20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GD_ScoreCa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Economic_Metrics_Maste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RES_ScoreCar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tilities_SC/2010/Utility/LOB'sCurrentScoreCard/2010_ED_ScoreCard.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GreenEnergy_Metrics_Mast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GreenEnergy_Metrics_Maste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tilities_SC/2009/Utility/LOB'sCurrentScoreCard/2009_COps_ScoreCar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tilities_SC/2009/Utility/LOB'sCurrentScoreCard/2009_ED_ScoreCard.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tilities_SC/2009/Utility/LOB'sCurrentScoreCard/2009_Gas_ScoreCard.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People_Metrics_Mast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jnwkfp10\entdata10\2000%20Cost%20Plan\99BUDV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tilities_SC/2009/Utility/LOB'sCurrentScoreCard/2009_RES_ScoreCar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EMP/Distrib%20Month%20Rpt%20Package.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nts%20and%20Settings/spj3s/Local%20Settings/Temporary%20Internet%20Files/OLK8E9/People_Metrics_MasterSample.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jnwkfp06\PSE&amp;G\Utilities_SC\2009\Utility\CurrentFolder\GreenEnergy_Metrics_Master.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jnwkfp06\PSE&amp;G\Documents%20and%20Settings\spj3s\Local%20Settings\Temporary%20Internet%20Files\OLK8E9\People_Metrics_MasterSampl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njnwkfp06\pse&amp;g\EDST\Asset_Integ\WorkPlanCapital%20Frcst\2009\05-2009\2009%20ED%20Capital%20Projects%20By%20Month.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tilities_SC/2010/Utility/LOB'sCurrentScoreCard/2010_GD_ScoreCard.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Documents%20and%20Settings/cmk8b/Local%20Settings/Temporary%20Internet%20Files/OLK1C/SafeReliable_Metrics_Master.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Documents%20and%20Settings/spj3s/Local%20Settings/Temporary%20Internet%20Files/OLK8E9/2009_PSE&amp;G_BS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cmm6j/Local%20Settings/Temporary%20Internet%20Files/OLK282/2010_PSE&amp;G_B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4/Account%20Recs/Dec%202014/UPS%20Dec%202014%20TC10%2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moss.pseg.com/Documents%20and%20Settings/cml0o/Local%20Settings/Temporary%20Internet%20Files/OLKA8/EOG%20Meetings/July/PROJECTS/2002%20October%20EOG%20Presentation/PROJECTS/Cedar%20Creek/rate%20case%20detai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jessica.kellie/AppData/Local/Microsoft/Windows/INetCache/Content.Outlook/WE2T63ZJ/Non%20zone%20transmission%20use%20credits_2018_2019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tdsjs/Local%20Settings/Temporary%20Internet%20Files/OLK770/YE%20Forecast%20CWIP%20AFUDCSummary_April13%20FINAL%20SUBMISSIO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tilities_SC/2010/Utility/LOB'sCurrentScoreCard/2010_CO_ScoreCa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CO_ScoreCa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JPLFDFD01\EntData01\ASB%20Reports\Reports%202002\Monthly%20reports\Ops%20Monthly%202002\AS%20FINANCIAL%20&amp;%20INCOME%20REPOR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cmm6j/Local%20Settings/Temporary%20Internet%20Files/OLK282/SafeReliable_Metrics_Master%2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jnwkfp06\PSE&amp;G\Utilities_SC\2010\Utility\LOB'sCurrentScoreCard\2010_ED_ScoreCa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efreshError="1">
        <row r="2">
          <cell r="A2" t="str">
            <v>200700647</v>
          </cell>
          <cell r="B2" t="str">
            <v>Electric Distribution</v>
          </cell>
          <cell r="C2" t="str">
            <v>FA</v>
          </cell>
          <cell r="D2" t="str">
            <v/>
          </cell>
          <cell r="E2" t="str">
            <v/>
          </cell>
          <cell r="F2" t="str">
            <v>GRESS CHRISTOPHER L</v>
          </cell>
          <cell r="G2" t="str">
            <v>1650</v>
          </cell>
          <cell r="H2" t="str">
            <v>Bellmawr Sub</v>
          </cell>
          <cell r="I2" t="str">
            <v>00101191</v>
          </cell>
          <cell r="J2" t="str">
            <v>03:00:00</v>
          </cell>
          <cell r="K2" t="str">
            <v>08</v>
          </cell>
          <cell r="L2" t="str">
            <v/>
          </cell>
          <cell r="M2" t="str">
            <v/>
          </cell>
          <cell r="N2" t="str">
            <v/>
          </cell>
          <cell r="O2" t="str">
            <v/>
          </cell>
          <cell r="P2" t="str">
            <v>00095853</v>
          </cell>
          <cell r="Q2" t="str">
            <v>SCOTT P ZAKSZESKI</v>
          </cell>
          <cell r="R2" t="str">
            <v>00095853</v>
          </cell>
          <cell r="S2" t="str">
            <v/>
          </cell>
          <cell r="T2" t="str">
            <v>SCOTT P ZAKSZESKI</v>
          </cell>
          <cell r="U2" t="str">
            <v>CMTMS</v>
          </cell>
          <cell r="V2" t="str">
            <v>Bellmawr Sub</v>
          </cell>
          <cell r="W2" t="str">
            <v>0999</v>
          </cell>
          <cell r="X2" t="str">
            <v/>
          </cell>
          <cell r="Y2" t="str">
            <v/>
          </cell>
          <cell r="Z2" t="str">
            <v/>
          </cell>
          <cell r="AA2" t="str">
            <v/>
          </cell>
          <cell r="AB2" t="str">
            <v>None</v>
          </cell>
          <cell r="AC2" t="str">
            <v/>
          </cell>
          <cell r="AD2" t="str">
            <v/>
          </cell>
          <cell r="AE2" t="str">
            <v/>
          </cell>
          <cell r="AF2" t="str">
            <v/>
          </cell>
          <cell r="AG2">
            <v>1</v>
          </cell>
          <cell r="AH2">
            <v>39352</v>
          </cell>
          <cell r="AI2">
            <v>39352</v>
          </cell>
        </row>
        <row r="3">
          <cell r="A3" t="str">
            <v>200700661</v>
          </cell>
          <cell r="B3" t="str">
            <v>Electric Distribution</v>
          </cell>
          <cell r="C3" t="str">
            <v>FA</v>
          </cell>
          <cell r="D3" t="str">
            <v/>
          </cell>
          <cell r="E3" t="str">
            <v>RT</v>
          </cell>
          <cell r="F3" t="str">
            <v>ALFARO ALBERTO F</v>
          </cell>
          <cell r="G3" t="str">
            <v>1670</v>
          </cell>
          <cell r="H3" t="str">
            <v>Elizabeth Sub</v>
          </cell>
          <cell r="I3" t="str">
            <v>00113392</v>
          </cell>
          <cell r="J3" t="str">
            <v>11:30:00</v>
          </cell>
          <cell r="K3" t="str">
            <v>01</v>
          </cell>
          <cell r="L3" t="str">
            <v>Caught In, Under or Between</v>
          </cell>
          <cell r="M3" t="str">
            <v>Bruise/Contusion</v>
          </cell>
          <cell r="N3" t="str">
            <v>Arm</v>
          </cell>
          <cell r="O3" t="str">
            <v/>
          </cell>
          <cell r="P3" t="str">
            <v>00006571</v>
          </cell>
          <cell r="Q3" t="str">
            <v>MICHAEL E EMIHL</v>
          </cell>
          <cell r="R3" t="str">
            <v>00006571</v>
          </cell>
          <cell r="S3" t="str">
            <v/>
          </cell>
          <cell r="T3" t="str">
            <v>MICHAEL E EMIHL</v>
          </cell>
          <cell r="U3" t="str">
            <v>TDK0C</v>
          </cell>
          <cell r="V3" t="str">
            <v>Elizabeth Sub</v>
          </cell>
          <cell r="W3" t="str">
            <v>0003</v>
          </cell>
          <cell r="X3" t="str">
            <v/>
          </cell>
          <cell r="Y3" t="str">
            <v/>
          </cell>
          <cell r="Z3" t="str">
            <v/>
          </cell>
          <cell r="AA3" t="str">
            <v/>
          </cell>
          <cell r="AB3" t="str">
            <v/>
          </cell>
          <cell r="AC3" t="str">
            <v/>
          </cell>
          <cell r="AD3" t="str">
            <v/>
          </cell>
          <cell r="AE3" t="str">
            <v>:  At approximately 11:30am this morning a line crew working on the remo</v>
          </cell>
          <cell r="AF3" t="str">
            <v/>
          </cell>
          <cell r="AG3">
            <v>1</v>
          </cell>
          <cell r="AH3">
            <v>39352</v>
          </cell>
          <cell r="AI3">
            <v>39358</v>
          </cell>
        </row>
        <row r="4">
          <cell r="A4" t="str">
            <v>200700622</v>
          </cell>
          <cell r="B4" t="str">
            <v>Electric Distribution</v>
          </cell>
          <cell r="C4" t="str">
            <v>MV</v>
          </cell>
          <cell r="D4" t="str">
            <v>MV</v>
          </cell>
          <cell r="E4" t="str">
            <v/>
          </cell>
          <cell r="F4" t="str">
            <v>DUDA EDWARD</v>
          </cell>
          <cell r="G4" t="str">
            <v>1710</v>
          </cell>
          <cell r="H4" t="str">
            <v>Secaucus Hdqtrs</v>
          </cell>
          <cell r="I4" t="str">
            <v>00015173</v>
          </cell>
          <cell r="J4" t="str">
            <v>09:00:00</v>
          </cell>
          <cell r="K4" t="str">
            <v>18</v>
          </cell>
          <cell r="L4" t="str">
            <v/>
          </cell>
          <cell r="M4" t="str">
            <v/>
          </cell>
          <cell r="N4" t="str">
            <v/>
          </cell>
          <cell r="O4" t="str">
            <v>inattention while driving</v>
          </cell>
          <cell r="P4" t="str">
            <v>00013593</v>
          </cell>
          <cell r="Q4" t="str">
            <v>PAUL G RAUCH</v>
          </cell>
          <cell r="R4" t="str">
            <v>00013593</v>
          </cell>
          <cell r="S4" t="str">
            <v/>
          </cell>
          <cell r="T4" t="str">
            <v>PAUL G RAUCH</v>
          </cell>
          <cell r="U4" t="str">
            <v>TDH0S</v>
          </cell>
          <cell r="V4" t="str">
            <v>Secaucus Hdqtrs</v>
          </cell>
          <cell r="W4" t="str">
            <v>0004</v>
          </cell>
          <cell r="X4" t="str">
            <v/>
          </cell>
          <cell r="Y4" t="str">
            <v/>
          </cell>
          <cell r="Z4" t="str">
            <v/>
          </cell>
          <cell r="AA4" t="str">
            <v/>
          </cell>
          <cell r="AB4" t="str">
            <v>Driving Error by Reported Employee</v>
          </cell>
          <cell r="AC4" t="str">
            <v>Inattention</v>
          </cell>
          <cell r="AD4" t="str">
            <v>Light</v>
          </cell>
          <cell r="AE4" t="str">
            <v/>
          </cell>
          <cell r="AF4" t="str">
            <v>while waiting at a light,employee's foot slipped from brake and struck a</v>
          </cell>
          <cell r="AG4">
            <v>1</v>
          </cell>
          <cell r="AH4">
            <v>39331</v>
          </cell>
          <cell r="AI4">
            <v>39342</v>
          </cell>
        </row>
        <row r="5">
          <cell r="A5" t="str">
            <v>200700635</v>
          </cell>
          <cell r="B5" t="str">
            <v>Electric Distribution</v>
          </cell>
          <cell r="C5" t="str">
            <v>MV</v>
          </cell>
          <cell r="D5" t="str">
            <v>MV</v>
          </cell>
          <cell r="E5" t="str">
            <v/>
          </cell>
          <cell r="F5" t="str">
            <v>RYAN JAMES J</v>
          </cell>
          <cell r="G5" t="str">
            <v>1710</v>
          </cell>
          <cell r="H5" t="str">
            <v>Secaucus Hdqtrs</v>
          </cell>
          <cell r="I5" t="str">
            <v>00017455</v>
          </cell>
          <cell r="J5" t="str">
            <v>09:00:00</v>
          </cell>
          <cell r="K5" t="str">
            <v>17</v>
          </cell>
          <cell r="L5" t="str">
            <v/>
          </cell>
          <cell r="M5" t="str">
            <v/>
          </cell>
          <cell r="N5" t="str">
            <v/>
          </cell>
          <cell r="O5" t="str">
            <v>Driving Error By Other Than Reported Emp Injured</v>
          </cell>
          <cell r="P5" t="str">
            <v>00006769</v>
          </cell>
          <cell r="Q5" t="str">
            <v>JOHN J ADAMSKI</v>
          </cell>
          <cell r="R5" t="str">
            <v>00006769</v>
          </cell>
          <cell r="S5" t="str">
            <v/>
          </cell>
          <cell r="T5" t="str">
            <v>JOHN J ADAMSKI</v>
          </cell>
          <cell r="U5" t="str">
            <v>TDH0S</v>
          </cell>
          <cell r="V5" t="str">
            <v>Secaucus Hdqtrs</v>
          </cell>
          <cell r="W5" t="str">
            <v>0004</v>
          </cell>
          <cell r="X5" t="str">
            <v/>
          </cell>
          <cell r="Y5" t="str">
            <v/>
          </cell>
          <cell r="Z5" t="str">
            <v/>
          </cell>
          <cell r="AA5" t="str">
            <v/>
          </cell>
          <cell r="AB5" t="str">
            <v>None</v>
          </cell>
          <cell r="AC5" t="str">
            <v/>
          </cell>
          <cell r="AD5" t="str">
            <v>Light</v>
          </cell>
          <cell r="AE5" t="str">
            <v/>
          </cell>
          <cell r="AF5" t="str">
            <v>While setting up work at the intersections of Washington and 2nd avenue,</v>
          </cell>
          <cell r="AG5">
            <v>1</v>
          </cell>
          <cell r="AH5">
            <v>39339</v>
          </cell>
          <cell r="AI5">
            <v>39346</v>
          </cell>
        </row>
        <row r="6">
          <cell r="A6" t="str">
            <v>200700638</v>
          </cell>
          <cell r="B6" t="str">
            <v>Electric Distribution</v>
          </cell>
          <cell r="C6" t="str">
            <v>MV</v>
          </cell>
          <cell r="D6" t="str">
            <v>MV</v>
          </cell>
          <cell r="E6" t="str">
            <v>RG</v>
          </cell>
          <cell r="F6" t="str">
            <v>ARMSTRONG PRINCE M</v>
          </cell>
          <cell r="G6" t="str">
            <v>1690</v>
          </cell>
          <cell r="H6" t="str">
            <v>Clifton Hdqtrs</v>
          </cell>
          <cell r="I6" t="str">
            <v>00111639</v>
          </cell>
          <cell r="J6" t="str">
            <v>13:55:00</v>
          </cell>
          <cell r="K6" t="str">
            <v>02</v>
          </cell>
          <cell r="L6" t="str">
            <v>Motor Vehicle Accident (Any Type)</v>
          </cell>
          <cell r="M6" t="str">
            <v/>
          </cell>
          <cell r="N6" t="str">
            <v/>
          </cell>
          <cell r="O6" t="str">
            <v>Driving Error By Other Than Reported Emp Injured</v>
          </cell>
          <cell r="P6" t="str">
            <v>00021545</v>
          </cell>
          <cell r="Q6" t="str">
            <v>JOHN M STRINGER</v>
          </cell>
          <cell r="R6" t="str">
            <v>00021545</v>
          </cell>
          <cell r="S6" t="str">
            <v/>
          </cell>
          <cell r="T6" t="str">
            <v>JOHN M STRINGER</v>
          </cell>
          <cell r="U6" t="str">
            <v>CMMWM</v>
          </cell>
          <cell r="V6" t="str">
            <v>Clifton Hdqtrs</v>
          </cell>
          <cell r="W6" t="str">
            <v>0004</v>
          </cell>
          <cell r="X6" t="str">
            <v/>
          </cell>
          <cell r="Y6" t="str">
            <v/>
          </cell>
          <cell r="Z6" t="str">
            <v/>
          </cell>
          <cell r="AA6" t="str">
            <v/>
          </cell>
          <cell r="AB6" t="str">
            <v>None</v>
          </cell>
          <cell r="AC6" t="str">
            <v>Other driver at fault</v>
          </cell>
          <cell r="AD6" t="str">
            <v>Medium</v>
          </cell>
          <cell r="AE6" t="str">
            <v/>
          </cell>
          <cell r="AF6" t="str">
            <v>While Going North on Memorial Drive, driving in the right lane, passing</v>
          </cell>
          <cell r="AG6">
            <v>1</v>
          </cell>
          <cell r="AH6">
            <v>39337</v>
          </cell>
          <cell r="AI6">
            <v>39350</v>
          </cell>
        </row>
        <row r="7">
          <cell r="A7" t="str">
            <v>200700643</v>
          </cell>
          <cell r="B7" t="str">
            <v>Electric Distribution</v>
          </cell>
          <cell r="C7" t="str">
            <v>MV</v>
          </cell>
          <cell r="D7" t="str">
            <v>MV</v>
          </cell>
          <cell r="E7" t="str">
            <v/>
          </cell>
          <cell r="F7" t="str">
            <v>DOLAN JAMES P</v>
          </cell>
          <cell r="G7" t="str">
            <v>1710</v>
          </cell>
          <cell r="H7" t="str">
            <v>Secaucus Hdqtrs</v>
          </cell>
          <cell r="I7" t="str">
            <v>00110824</v>
          </cell>
          <cell r="J7" t="str">
            <v>05:45:00</v>
          </cell>
          <cell r="K7" t="str">
            <v>02</v>
          </cell>
          <cell r="L7" t="str">
            <v/>
          </cell>
          <cell r="M7" t="str">
            <v/>
          </cell>
          <cell r="N7" t="str">
            <v/>
          </cell>
          <cell r="O7" t="str">
            <v>Driving Error By Other Than Reported Emp Injured</v>
          </cell>
          <cell r="P7" t="str">
            <v>00013382</v>
          </cell>
          <cell r="Q7" t="str">
            <v>TIMOTHY M AMBACHER</v>
          </cell>
          <cell r="R7" t="str">
            <v>00013382</v>
          </cell>
          <cell r="S7" t="str">
            <v/>
          </cell>
          <cell r="T7" t="str">
            <v>TIMOTHY M AMBACHER</v>
          </cell>
          <cell r="U7" t="str">
            <v>TDD1M</v>
          </cell>
          <cell r="V7" t="str">
            <v>Secaucus Hdqtrs</v>
          </cell>
          <cell r="W7" t="str">
            <v>0004</v>
          </cell>
          <cell r="X7" t="str">
            <v/>
          </cell>
          <cell r="Y7" t="str">
            <v/>
          </cell>
          <cell r="Z7" t="str">
            <v/>
          </cell>
          <cell r="AA7" t="str">
            <v/>
          </cell>
          <cell r="AB7" t="str">
            <v>Improper passing</v>
          </cell>
          <cell r="AC7" t="str">
            <v>Cutting in or Sudden turning out</v>
          </cell>
          <cell r="AD7" t="str">
            <v>Medium</v>
          </cell>
          <cell r="AE7" t="str">
            <v/>
          </cell>
          <cell r="AF7" t="str">
            <v>Employee was stopped at red light.  As he proceeded forward on green lig</v>
          </cell>
          <cell r="AG7">
            <v>1</v>
          </cell>
          <cell r="AH7">
            <v>39292</v>
          </cell>
          <cell r="AI7">
            <v>39352</v>
          </cell>
        </row>
        <row r="8">
          <cell r="A8" t="str">
            <v>200700644</v>
          </cell>
          <cell r="B8" t="str">
            <v>Electric Distribution</v>
          </cell>
          <cell r="C8" t="str">
            <v>MV</v>
          </cell>
          <cell r="D8" t="str">
            <v>MV</v>
          </cell>
          <cell r="E8" t="str">
            <v/>
          </cell>
          <cell r="F8" t="str">
            <v>SCHNEIDER MARK S</v>
          </cell>
          <cell r="G8" t="str">
            <v>1710</v>
          </cell>
          <cell r="H8" t="str">
            <v>Secaucus Hdqtrs</v>
          </cell>
          <cell r="I8" t="str">
            <v>00012078</v>
          </cell>
          <cell r="J8" t="str">
            <v>09:15:00</v>
          </cell>
          <cell r="K8" t="str">
            <v>22</v>
          </cell>
          <cell r="L8" t="str">
            <v/>
          </cell>
          <cell r="M8" t="str">
            <v/>
          </cell>
          <cell r="N8" t="str">
            <v/>
          </cell>
          <cell r="O8" t="str">
            <v>None</v>
          </cell>
          <cell r="P8" t="str">
            <v>00012641</v>
          </cell>
          <cell r="Q8" t="str">
            <v>EDUARDO M PEREIRA</v>
          </cell>
          <cell r="R8" t="str">
            <v>00012641</v>
          </cell>
          <cell r="S8" t="str">
            <v/>
          </cell>
          <cell r="T8" t="str">
            <v>EDUARDO M PEREIRA</v>
          </cell>
          <cell r="U8" t="str">
            <v>TDD1M</v>
          </cell>
          <cell r="V8" t="str">
            <v>Secaucus Hdqtrs</v>
          </cell>
          <cell r="W8" t="str">
            <v>0004</v>
          </cell>
          <cell r="X8" t="str">
            <v/>
          </cell>
          <cell r="Y8" t="str">
            <v/>
          </cell>
          <cell r="Z8" t="str">
            <v/>
          </cell>
          <cell r="AA8" t="str">
            <v/>
          </cell>
          <cell r="AB8" t="str">
            <v>Driving Error by Reported Employee</v>
          </cell>
          <cell r="AC8" t="str">
            <v>Inattention</v>
          </cell>
          <cell r="AD8" t="str">
            <v>Medium</v>
          </cell>
          <cell r="AE8" t="str">
            <v/>
          </cell>
          <cell r="AF8" t="str">
            <v>Employee was stopped in traffic waiting for the light to change.  While</v>
          </cell>
          <cell r="AG8">
            <v>1</v>
          </cell>
          <cell r="AH8">
            <v>39330</v>
          </cell>
          <cell r="AI8">
            <v>39352</v>
          </cell>
        </row>
        <row r="9">
          <cell r="A9" t="str">
            <v>200700650</v>
          </cell>
          <cell r="B9" t="str">
            <v>Electric Distribution</v>
          </cell>
          <cell r="C9" t="str">
            <v>MV</v>
          </cell>
          <cell r="D9" t="str">
            <v>MV</v>
          </cell>
          <cell r="E9" t="str">
            <v/>
          </cell>
          <cell r="F9" t="str">
            <v>ROSSI RICHARD F</v>
          </cell>
          <cell r="G9" t="str">
            <v>1650</v>
          </cell>
          <cell r="H9" t="str">
            <v>Moorestown Sub</v>
          </cell>
          <cell r="I9" t="str">
            <v>00015072</v>
          </cell>
          <cell r="J9" t="str">
            <v>10:45:00</v>
          </cell>
          <cell r="K9" t="str">
            <v>18</v>
          </cell>
          <cell r="L9" t="str">
            <v/>
          </cell>
          <cell r="M9" t="str">
            <v/>
          </cell>
          <cell r="N9" t="str">
            <v/>
          </cell>
          <cell r="O9" t="str">
            <v>None</v>
          </cell>
          <cell r="P9" t="str">
            <v>00007850</v>
          </cell>
          <cell r="Q9" t="str">
            <v>RICHARD A HOUSTON</v>
          </cell>
          <cell r="R9" t="str">
            <v>00007850</v>
          </cell>
          <cell r="S9" t="str">
            <v/>
          </cell>
          <cell r="T9" t="str">
            <v>RICHARD A HOUSTON</v>
          </cell>
          <cell r="U9" t="str">
            <v>CMTMS</v>
          </cell>
          <cell r="V9" t="str">
            <v>Moorestown Sub</v>
          </cell>
          <cell r="W9" t="str">
            <v>0003</v>
          </cell>
          <cell r="X9" t="str">
            <v/>
          </cell>
          <cell r="Y9" t="str">
            <v/>
          </cell>
          <cell r="Z9" t="str">
            <v/>
          </cell>
          <cell r="AA9" t="str">
            <v/>
          </cell>
          <cell r="AB9" t="str">
            <v>Driving Error by Reported Employee</v>
          </cell>
          <cell r="AC9" t="str">
            <v/>
          </cell>
          <cell r="AD9" t="str">
            <v/>
          </cell>
          <cell r="AE9" t="str">
            <v/>
          </cell>
          <cell r="AF9" t="str">
            <v/>
          </cell>
          <cell r="AG9">
            <v>1</v>
          </cell>
          <cell r="AH9">
            <v>39354</v>
          </cell>
          <cell r="AI9">
            <v>39356</v>
          </cell>
        </row>
        <row r="10">
          <cell r="A10" t="str">
            <v>200700660</v>
          </cell>
          <cell r="B10" t="str">
            <v>Electric Distribution</v>
          </cell>
          <cell r="C10" t="str">
            <v>MV</v>
          </cell>
          <cell r="D10" t="str">
            <v>MV</v>
          </cell>
          <cell r="E10" t="str">
            <v/>
          </cell>
          <cell r="F10" t="str">
            <v>SCHNUCK HOWARD J</v>
          </cell>
          <cell r="G10" t="str">
            <v>1670</v>
          </cell>
          <cell r="H10" t="str">
            <v>Elizabeth Sub</v>
          </cell>
          <cell r="I10" t="str">
            <v>00089488</v>
          </cell>
          <cell r="J10" t="str">
            <v>10:45:00</v>
          </cell>
          <cell r="K10" t="str">
            <v>40</v>
          </cell>
          <cell r="L10" t="str">
            <v/>
          </cell>
          <cell r="M10" t="str">
            <v/>
          </cell>
          <cell r="N10" t="str">
            <v/>
          </cell>
          <cell r="O10" t="str">
            <v>None</v>
          </cell>
          <cell r="P10" t="str">
            <v>00006571</v>
          </cell>
          <cell r="Q10" t="str">
            <v>MICHAEL E EMIHL</v>
          </cell>
          <cell r="R10" t="str">
            <v>00006571</v>
          </cell>
          <cell r="S10" t="str">
            <v/>
          </cell>
          <cell r="T10" t="str">
            <v>MICHAEL E EMIHL</v>
          </cell>
          <cell r="U10" t="str">
            <v>TDK0C</v>
          </cell>
          <cell r="V10" t="str">
            <v>Elizabeth Sub</v>
          </cell>
          <cell r="W10" t="str">
            <v>0003</v>
          </cell>
          <cell r="X10" t="str">
            <v/>
          </cell>
          <cell r="Y10" t="str">
            <v/>
          </cell>
          <cell r="Z10" t="str">
            <v/>
          </cell>
          <cell r="AA10" t="str">
            <v/>
          </cell>
          <cell r="AB10" t="str">
            <v>Drviving error by other driver</v>
          </cell>
          <cell r="AC10" t="str">
            <v>Inattention</v>
          </cell>
          <cell r="AD10" t="str">
            <v>Stop &amp; Go</v>
          </cell>
          <cell r="AE10" t="str">
            <v/>
          </cell>
          <cell r="AF10" t="str">
            <v>At approximately 10:45 AM a chief lineman was driving on Morris Ave in</v>
          </cell>
          <cell r="AG10">
            <v>1</v>
          </cell>
          <cell r="AH10">
            <v>39343</v>
          </cell>
          <cell r="AI10">
            <v>39358</v>
          </cell>
        </row>
        <row r="11">
          <cell r="A11" t="str">
            <v>200700662</v>
          </cell>
          <cell r="B11" t="str">
            <v>Electric Distribution</v>
          </cell>
          <cell r="C11" t="str">
            <v>MV</v>
          </cell>
          <cell r="D11" t="str">
            <v>MV</v>
          </cell>
          <cell r="E11" t="str">
            <v/>
          </cell>
          <cell r="F11" t="str">
            <v>VERA JUAN</v>
          </cell>
          <cell r="G11" t="str">
            <v>1710</v>
          </cell>
          <cell r="H11" t="str">
            <v>Hackensack Sub</v>
          </cell>
          <cell r="I11" t="str">
            <v>00018660</v>
          </cell>
          <cell r="J11" t="str">
            <v>08:20:00</v>
          </cell>
          <cell r="K11" t="str">
            <v>15</v>
          </cell>
          <cell r="L11" t="str">
            <v/>
          </cell>
          <cell r="M11" t="str">
            <v/>
          </cell>
          <cell r="N11" t="str">
            <v/>
          </cell>
          <cell r="O11" t="str">
            <v>inattention of driver</v>
          </cell>
          <cell r="P11" t="str">
            <v>00019004</v>
          </cell>
          <cell r="Q11" t="str">
            <v>MICHAEL F PERCARPIO</v>
          </cell>
          <cell r="R11" t="str">
            <v>00019004</v>
          </cell>
          <cell r="S11" t="str">
            <v>TDH0S</v>
          </cell>
          <cell r="T11" t="str">
            <v>MICHAEL F PERCARPIO</v>
          </cell>
          <cell r="U11" t="str">
            <v>TDH0S</v>
          </cell>
          <cell r="V11" t="str">
            <v>Hackensack Sub</v>
          </cell>
          <cell r="W11" t="str">
            <v>0004</v>
          </cell>
          <cell r="X11" t="str">
            <v/>
          </cell>
          <cell r="Y11" t="str">
            <v/>
          </cell>
          <cell r="Z11" t="str">
            <v/>
          </cell>
          <cell r="AA11" t="str">
            <v/>
          </cell>
          <cell r="AB11" t="str">
            <v>Driving Error by Reported Employee</v>
          </cell>
          <cell r="AC11" t="str">
            <v/>
          </cell>
          <cell r="AD11" t="str">
            <v/>
          </cell>
          <cell r="AE11" t="str">
            <v/>
          </cell>
          <cell r="AF11" t="str">
            <v/>
          </cell>
          <cell r="AG11">
            <v>1</v>
          </cell>
          <cell r="AH11">
            <v>39356</v>
          </cell>
          <cell r="AI11">
            <v>39359</v>
          </cell>
        </row>
        <row r="12">
          <cell r="A12" t="str">
            <v>200700583</v>
          </cell>
          <cell r="B12" t="str">
            <v>Electric Distribution</v>
          </cell>
          <cell r="C12" t="str">
            <v>NM</v>
          </cell>
          <cell r="D12" t="str">
            <v/>
          </cell>
          <cell r="E12" t="str">
            <v/>
          </cell>
          <cell r="F12" t="str">
            <v>PERRY EVERITTE J</v>
          </cell>
          <cell r="G12" t="str">
            <v>1650</v>
          </cell>
          <cell r="H12" t="str">
            <v>Moorestown Sub</v>
          </cell>
          <cell r="I12" t="str">
            <v>00010221</v>
          </cell>
          <cell r="J12" t="str">
            <v>11:00:00</v>
          </cell>
          <cell r="K12" t="str">
            <v>24</v>
          </cell>
          <cell r="L12" t="str">
            <v>Dig In - Gas Line</v>
          </cell>
          <cell r="M12" t="str">
            <v/>
          </cell>
          <cell r="N12" t="str">
            <v/>
          </cell>
          <cell r="O12" t="str">
            <v>None</v>
          </cell>
          <cell r="P12" t="str">
            <v>00001840</v>
          </cell>
          <cell r="Q12" t="str">
            <v>JOSEPH KOVACS JR</v>
          </cell>
          <cell r="R12" t="str">
            <v>00001840</v>
          </cell>
          <cell r="S12" t="str">
            <v/>
          </cell>
          <cell r="T12" t="str">
            <v>JOSEPH KOVACS JR</v>
          </cell>
          <cell r="U12" t="str">
            <v>CMTMS</v>
          </cell>
          <cell r="V12" t="str">
            <v>Moorestown Sub</v>
          </cell>
          <cell r="W12" t="str">
            <v>0014</v>
          </cell>
          <cell r="X12" t="str">
            <v/>
          </cell>
          <cell r="Y12" t="str">
            <v/>
          </cell>
          <cell r="Z12" t="str">
            <v/>
          </cell>
          <cell r="AA12" t="str">
            <v/>
          </cell>
          <cell r="AB12" t="str">
            <v>Instructions/Rules - Failure to Follow</v>
          </cell>
          <cell r="AC12" t="str">
            <v/>
          </cell>
          <cell r="AD12" t="str">
            <v/>
          </cell>
          <cell r="AE12" t="str">
            <v>An associate was installing a “screw in” style streetlight base. As the</v>
          </cell>
          <cell r="AF12" t="str">
            <v/>
          </cell>
          <cell r="AG12">
            <v>1</v>
          </cell>
          <cell r="AH12">
            <v>39325</v>
          </cell>
          <cell r="AI12">
            <v>39329</v>
          </cell>
        </row>
        <row r="13">
          <cell r="A13" t="str">
            <v>200700652</v>
          </cell>
          <cell r="B13" t="str">
            <v>Electric Distribution</v>
          </cell>
          <cell r="C13" t="str">
            <v>NM</v>
          </cell>
          <cell r="D13" t="str">
            <v/>
          </cell>
          <cell r="E13" t="str">
            <v/>
          </cell>
          <cell r="F13" t="str">
            <v>WILLIAMS MICHAEL</v>
          </cell>
          <cell r="G13" t="str">
            <v>1650</v>
          </cell>
          <cell r="H13" t="str">
            <v>Moorestown Sub</v>
          </cell>
          <cell r="I13" t="str">
            <v>00005952</v>
          </cell>
          <cell r="J13" t="str">
            <v>10:00:00</v>
          </cell>
          <cell r="K13" t="str">
            <v>28</v>
          </cell>
          <cell r="L13" t="str">
            <v>Transformer test failed</v>
          </cell>
          <cell r="M13" t="str">
            <v/>
          </cell>
          <cell r="N13" t="str">
            <v/>
          </cell>
          <cell r="O13" t="str">
            <v>None</v>
          </cell>
          <cell r="P13" t="str">
            <v>00006454</v>
          </cell>
          <cell r="Q13" t="str">
            <v>JOSEPH B GAINES</v>
          </cell>
          <cell r="R13" t="str">
            <v>00006454</v>
          </cell>
          <cell r="S13" t="str">
            <v/>
          </cell>
          <cell r="T13" t="str">
            <v>JOSEPH B GAINES</v>
          </cell>
          <cell r="U13" t="str">
            <v>CMTMS</v>
          </cell>
          <cell r="V13" t="str">
            <v>Moorestown Sub</v>
          </cell>
          <cell r="W13" t="str">
            <v>0007</v>
          </cell>
          <cell r="X13" t="str">
            <v/>
          </cell>
          <cell r="Y13" t="str">
            <v/>
          </cell>
          <cell r="Z13" t="str">
            <v/>
          </cell>
          <cell r="AA13" t="str">
            <v/>
          </cell>
          <cell r="AB13" t="str">
            <v>None</v>
          </cell>
          <cell r="AC13" t="str">
            <v/>
          </cell>
          <cell r="AD13" t="str">
            <v/>
          </cell>
          <cell r="AE13" t="str">
            <v>PSEG INTERNAL USE ONLY_x000D_
INCIDENT ALERT SYSTEM_x000D_
ID# 200700_x000D_
_x000D_
_x000D_
Type:   N</v>
          </cell>
          <cell r="AF13" t="str">
            <v/>
          </cell>
          <cell r="AG13">
            <v>1</v>
          </cell>
          <cell r="AH13">
            <v>39337</v>
          </cell>
          <cell r="AI13">
            <v>39356</v>
          </cell>
        </row>
        <row r="14">
          <cell r="A14" t="str">
            <v>200700653</v>
          </cell>
          <cell r="B14" t="str">
            <v>Electric Distribution</v>
          </cell>
          <cell r="C14" t="str">
            <v>NM</v>
          </cell>
          <cell r="D14" t="str">
            <v/>
          </cell>
          <cell r="E14" t="str">
            <v/>
          </cell>
          <cell r="F14" t="str">
            <v>NEWMAN BARRY M</v>
          </cell>
          <cell r="G14" t="str">
            <v>1650</v>
          </cell>
          <cell r="H14" t="str">
            <v>Bellmawr Sub</v>
          </cell>
          <cell r="I14" t="str">
            <v>00017464</v>
          </cell>
          <cell r="J14" t="str">
            <v>11:00:00</v>
          </cell>
          <cell r="K14" t="str">
            <v>17</v>
          </cell>
          <cell r="L14" t="str">
            <v>Dig In 4kv</v>
          </cell>
          <cell r="M14" t="str">
            <v/>
          </cell>
          <cell r="N14" t="str">
            <v/>
          </cell>
          <cell r="O14" t="str">
            <v>None</v>
          </cell>
          <cell r="P14" t="str">
            <v>00005310</v>
          </cell>
          <cell r="Q14" t="str">
            <v>LAWRENCE M GRESS</v>
          </cell>
          <cell r="R14" t="str">
            <v>00005310</v>
          </cell>
          <cell r="S14" t="str">
            <v/>
          </cell>
          <cell r="T14" t="str">
            <v>LAWRENCE M GRESS</v>
          </cell>
          <cell r="U14" t="str">
            <v>CMTMS</v>
          </cell>
          <cell r="V14" t="str">
            <v>Bellmawr Sub</v>
          </cell>
          <cell r="W14" t="str">
            <v>0002</v>
          </cell>
          <cell r="X14" t="str">
            <v/>
          </cell>
          <cell r="Y14" t="str">
            <v/>
          </cell>
          <cell r="Z14" t="str">
            <v/>
          </cell>
          <cell r="AA14" t="str">
            <v/>
          </cell>
          <cell r="AB14" t="str">
            <v>None</v>
          </cell>
          <cell r="AC14" t="str">
            <v/>
          </cell>
          <cell r="AD14" t="str">
            <v/>
          </cell>
          <cell r="AE14" t="str">
            <v>PSEG INTERNAL USE ONLY_x000D_
INCIDENT ALERT SYSTEM_x000D_
ID# 200700653_x000D_
_x000D_
_x000D_
Type:</v>
          </cell>
          <cell r="AF14" t="str">
            <v/>
          </cell>
          <cell r="AG14">
            <v>1</v>
          </cell>
          <cell r="AH14">
            <v>39350</v>
          </cell>
          <cell r="AI14">
            <v>39356</v>
          </cell>
        </row>
        <row r="15">
          <cell r="A15" t="str">
            <v>200700623</v>
          </cell>
          <cell r="B15" t="str">
            <v>Electric Distribution</v>
          </cell>
          <cell r="C15" t="str">
            <v>OR</v>
          </cell>
          <cell r="D15" t="str">
            <v/>
          </cell>
          <cell r="E15" t="str">
            <v>RT</v>
          </cell>
          <cell r="F15" t="str">
            <v>ZAKRZEWSKI ANTHONY L</v>
          </cell>
          <cell r="G15" t="str">
            <v>1710</v>
          </cell>
          <cell r="H15" t="str">
            <v>Hackensack Sub</v>
          </cell>
          <cell r="I15" t="str">
            <v>00110111</v>
          </cell>
          <cell r="J15" t="str">
            <v>08:30:00</v>
          </cell>
          <cell r="K15" t="str">
            <v>03</v>
          </cell>
          <cell r="L15" t="str">
            <v>Overexertion - Physical (e.g. Improper Lifting or</v>
          </cell>
          <cell r="M15" t="str">
            <v>Strain and/or Sprain</v>
          </cell>
          <cell r="N15" t="str">
            <v>multiple-back,neck and shoulder</v>
          </cell>
          <cell r="O15" t="str">
            <v>improper lifting</v>
          </cell>
          <cell r="P15" t="str">
            <v>00005110</v>
          </cell>
          <cell r="Q15" t="str">
            <v>MICHAEL L HAMMETT</v>
          </cell>
          <cell r="R15" t="str">
            <v>00005110</v>
          </cell>
          <cell r="S15" t="str">
            <v/>
          </cell>
          <cell r="T15" t="str">
            <v>MICHAEL L HAMMETT</v>
          </cell>
          <cell r="U15" t="str">
            <v>TDH0S</v>
          </cell>
          <cell r="V15" t="str">
            <v>Hackensack Sub</v>
          </cell>
          <cell r="W15" t="str">
            <v>0006</v>
          </cell>
          <cell r="X15" t="str">
            <v>heat treatment with a pain killer</v>
          </cell>
          <cell r="Y15" t="str">
            <v/>
          </cell>
          <cell r="Z15" t="str">
            <v>X</v>
          </cell>
          <cell r="AA15" t="str">
            <v/>
          </cell>
          <cell r="AB15" t="str">
            <v>Improper Body Movement Such as Twisting or Bending</v>
          </cell>
          <cell r="AC15" t="str">
            <v/>
          </cell>
          <cell r="AD15" t="str">
            <v/>
          </cell>
          <cell r="AE15" t="str">
            <v>Employee was clearing off the back of a line truck at the subheadquarter</v>
          </cell>
          <cell r="AF15" t="str">
            <v/>
          </cell>
          <cell r="AG15">
            <v>1</v>
          </cell>
          <cell r="AH15">
            <v>39336</v>
          </cell>
          <cell r="AI15">
            <v>39342</v>
          </cell>
        </row>
        <row r="16">
          <cell r="A16" t="str">
            <v>200700636</v>
          </cell>
          <cell r="B16" t="str">
            <v>Electric Distribution</v>
          </cell>
          <cell r="C16" t="str">
            <v>OR</v>
          </cell>
          <cell r="D16" t="str">
            <v/>
          </cell>
          <cell r="E16" t="str">
            <v>RG</v>
          </cell>
          <cell r="F16" t="str">
            <v>LANG KENNETH F</v>
          </cell>
          <cell r="G16" t="str">
            <v>1710</v>
          </cell>
          <cell r="H16" t="str">
            <v>Secaucus Hdqtrs</v>
          </cell>
          <cell r="I16" t="str">
            <v>00114334</v>
          </cell>
          <cell r="J16" t="str">
            <v>10:30:00</v>
          </cell>
          <cell r="K16" t="str">
            <v>00</v>
          </cell>
          <cell r="L16" t="str">
            <v>Struck by Tool or Part of Tool/Equipment</v>
          </cell>
          <cell r="M16" t="str">
            <v>Laceration / Cut</v>
          </cell>
          <cell r="N16" t="str">
            <v>Ear</v>
          </cell>
          <cell r="O16" t="str">
            <v>None</v>
          </cell>
          <cell r="P16" t="str">
            <v>00007454</v>
          </cell>
          <cell r="Q16" t="str">
            <v>ANDREW MONOCKY</v>
          </cell>
          <cell r="R16" t="str">
            <v>00007454</v>
          </cell>
          <cell r="S16" t="str">
            <v/>
          </cell>
          <cell r="T16" t="str">
            <v>ANDREW MONOCKY</v>
          </cell>
          <cell r="U16" t="str">
            <v>TDLKW</v>
          </cell>
          <cell r="V16" t="str">
            <v>Secaucus Hdqtrs</v>
          </cell>
          <cell r="W16" t="str">
            <v>0006</v>
          </cell>
          <cell r="X16" t="str">
            <v>Ear laceration no sutures required</v>
          </cell>
          <cell r="Y16" t="str">
            <v/>
          </cell>
          <cell r="Z16" t="str">
            <v>X</v>
          </cell>
          <cell r="AA16" t="str">
            <v/>
          </cell>
          <cell r="AB16" t="str">
            <v/>
          </cell>
          <cell r="AC16" t="str">
            <v/>
          </cell>
          <cell r="AD16" t="str">
            <v/>
          </cell>
          <cell r="AE16" t="str">
            <v>Associate was practicing pole top rescue at the Edison Training Center u</v>
          </cell>
          <cell r="AF16" t="str">
            <v/>
          </cell>
          <cell r="AG16">
            <v>1</v>
          </cell>
          <cell r="AH16">
            <v>39346</v>
          </cell>
          <cell r="AI16">
            <v>39349</v>
          </cell>
        </row>
        <row r="17">
          <cell r="A17" t="str">
            <v>200700657</v>
          </cell>
          <cell r="B17" t="str">
            <v>Electric Distribution</v>
          </cell>
          <cell r="C17" t="str">
            <v>OR</v>
          </cell>
          <cell r="D17" t="str">
            <v/>
          </cell>
          <cell r="E17" t="str">
            <v>RG</v>
          </cell>
          <cell r="F17" t="str">
            <v>DOATCH WILLIAM</v>
          </cell>
          <cell r="G17" t="str">
            <v>1650</v>
          </cell>
          <cell r="H17" t="str">
            <v>Lawrenceville</v>
          </cell>
          <cell r="I17" t="str">
            <v>00004106</v>
          </cell>
          <cell r="J17" t="str">
            <v>10:00:00</v>
          </cell>
          <cell r="K17" t="str">
            <v>30</v>
          </cell>
          <cell r="L17" t="str">
            <v>Struck by Tool or Part of Tool/Equipment</v>
          </cell>
          <cell r="M17" t="str">
            <v>Laceration / Cut</v>
          </cell>
          <cell r="N17" t="str">
            <v>Hand</v>
          </cell>
          <cell r="O17" t="str">
            <v>None</v>
          </cell>
          <cell r="P17" t="str">
            <v>00005309</v>
          </cell>
          <cell r="Q17" t="str">
            <v>DAVID E EVANS</v>
          </cell>
          <cell r="R17" t="str">
            <v>00005309</v>
          </cell>
          <cell r="S17" t="str">
            <v>CMTMS</v>
          </cell>
          <cell r="T17" t="str">
            <v>DAVID E EVANS</v>
          </cell>
          <cell r="U17" t="str">
            <v>CMTMS</v>
          </cell>
          <cell r="V17" t="str">
            <v>Lawrenceville</v>
          </cell>
          <cell r="W17" t="str">
            <v>0007</v>
          </cell>
          <cell r="X17" t="str">
            <v>6 stitches to close f/u visit friday</v>
          </cell>
          <cell r="Y17" t="str">
            <v/>
          </cell>
          <cell r="Z17" t="str">
            <v>X</v>
          </cell>
          <cell r="AA17" t="str">
            <v/>
          </cell>
          <cell r="AB17" t="str">
            <v>None</v>
          </cell>
          <cell r="AC17" t="str">
            <v/>
          </cell>
          <cell r="AD17" t="str">
            <v/>
          </cell>
          <cell r="AE17" t="str">
            <v>I just spoke to Trenton Switch upgraded mechanical supervisor Ed Chase a</v>
          </cell>
          <cell r="AF17" t="str">
            <v/>
          </cell>
          <cell r="AG17">
            <v>1</v>
          </cell>
          <cell r="AH17">
            <v>39358</v>
          </cell>
          <cell r="AI17">
            <v>39358</v>
          </cell>
        </row>
        <row r="18">
          <cell r="A18" t="str">
            <v>200700582</v>
          </cell>
          <cell r="B18" t="str">
            <v>Electric Distribution</v>
          </cell>
          <cell r="C18" t="str">
            <v>RP</v>
          </cell>
          <cell r="D18" t="str">
            <v/>
          </cell>
          <cell r="E18" t="str">
            <v>RG</v>
          </cell>
          <cell r="F18" t="str">
            <v>COLEMAN LOUIS S</v>
          </cell>
          <cell r="G18" t="str">
            <v>1650</v>
          </cell>
          <cell r="H18" t="str">
            <v>Moorestown Sub</v>
          </cell>
          <cell r="I18" t="str">
            <v>00015741</v>
          </cell>
          <cell r="J18" t="str">
            <v>07:15:00</v>
          </cell>
          <cell r="K18" t="str">
            <v>18</v>
          </cell>
          <cell r="L18" t="str">
            <v>Cut By</v>
          </cell>
          <cell r="M18" t="str">
            <v>Laceration / Cut</v>
          </cell>
          <cell r="N18" t="str">
            <v>Finger</v>
          </cell>
          <cell r="O18" t="str">
            <v>None</v>
          </cell>
          <cell r="P18" t="str">
            <v>00006454</v>
          </cell>
          <cell r="Q18" t="str">
            <v>JOSEPH B GAINES</v>
          </cell>
          <cell r="R18" t="str">
            <v>00006454</v>
          </cell>
          <cell r="S18" t="str">
            <v>CMTMS</v>
          </cell>
          <cell r="T18" t="str">
            <v>JOSEPH B GAINES</v>
          </cell>
          <cell r="U18" t="str">
            <v>CMTMS</v>
          </cell>
          <cell r="V18" t="str">
            <v>Moorestown Sub</v>
          </cell>
          <cell r="W18" t="str">
            <v>0007</v>
          </cell>
          <cell r="X18" t="str">
            <v>An associate was cutting a piece of wood on a table saw when his finger</v>
          </cell>
          <cell r="Y18" t="str">
            <v/>
          </cell>
          <cell r="Z18" t="str">
            <v>X</v>
          </cell>
          <cell r="AA18" t="str">
            <v>Percocet</v>
          </cell>
          <cell r="AB18" t="str">
            <v>Tools - Improper Use</v>
          </cell>
          <cell r="AC18" t="str">
            <v/>
          </cell>
          <cell r="AD18" t="str">
            <v/>
          </cell>
          <cell r="AE18" t="str">
            <v>An associate was cutting a piece of wood on a table saw when his finger</v>
          </cell>
          <cell r="AF18" t="str">
            <v/>
          </cell>
          <cell r="AG18">
            <v>1</v>
          </cell>
          <cell r="AH18">
            <v>39323</v>
          </cell>
          <cell r="AI18">
            <v>39329</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cell r="B8" t="str">
            <v>L</v>
          </cell>
          <cell r="C8">
            <v>20.54</v>
          </cell>
          <cell r="D8">
            <v>10.26</v>
          </cell>
          <cell r="E8" t="str">
            <v>ê</v>
          </cell>
          <cell r="F8">
            <v>14.69</v>
          </cell>
          <cell r="G8">
            <v>5.15</v>
          </cell>
          <cell r="H8">
            <v>7.96</v>
          </cell>
          <cell r="I8">
            <v>23.87</v>
          </cell>
          <cell r="J8">
            <v>0</v>
          </cell>
          <cell r="K8">
            <v>0</v>
          </cell>
          <cell r="M8" t="str">
            <v>OSHA Days Away Rate (Severity)</v>
          </cell>
          <cell r="N8" t="str">
            <v>L</v>
          </cell>
          <cell r="O8">
            <v>88.69</v>
          </cell>
          <cell r="P8">
            <v>10.26</v>
          </cell>
          <cell r="Q8" t="str">
            <v>+</v>
          </cell>
          <cell r="R8">
            <v>20.46</v>
          </cell>
          <cell r="S8">
            <v>12.54</v>
          </cell>
          <cell r="T8">
            <v>0</v>
          </cell>
          <cell r="U8">
            <v>0</v>
          </cell>
          <cell r="V8">
            <v>0</v>
          </cell>
          <cell r="W8">
            <v>0</v>
          </cell>
        </row>
        <row r="9">
          <cell r="A9" t="str">
            <v>Motor Vehicle Accident Rate</v>
          </cell>
          <cell r="B9" t="str">
            <v>L</v>
          </cell>
          <cell r="C9">
            <v>4.51</v>
          </cell>
          <cell r="D9">
            <v>3.87</v>
          </cell>
          <cell r="E9" t="str">
            <v>ê</v>
          </cell>
          <cell r="F9">
            <v>4.6399999999999997</v>
          </cell>
          <cell r="G9">
            <v>4.2</v>
          </cell>
          <cell r="H9">
            <v>6.05</v>
          </cell>
          <cell r="I9">
            <v>4.12</v>
          </cell>
          <cell r="J9">
            <v>7.54</v>
          </cell>
          <cell r="K9">
            <v>3.34</v>
          </cell>
          <cell r="M9" t="str">
            <v>Motor Vehicle Accident Rate</v>
          </cell>
          <cell r="N9" t="str">
            <v>L</v>
          </cell>
          <cell r="O9">
            <v>9.2899999999999991</v>
          </cell>
          <cell r="P9">
            <v>3.87</v>
          </cell>
          <cell r="Q9" t="str">
            <v>-</v>
          </cell>
          <cell r="R9">
            <v>6.22</v>
          </cell>
          <cell r="S9">
            <v>3.72</v>
          </cell>
          <cell r="T9">
            <v>15.13</v>
          </cell>
          <cell r="U9">
            <v>4.04</v>
          </cell>
          <cell r="V9">
            <v>0</v>
          </cell>
          <cell r="W9">
            <v>0</v>
          </cell>
        </row>
        <row r="10">
          <cell r="A10" t="str">
            <v>Staffing Levels - Permanent</v>
          </cell>
          <cell r="B10" t="str">
            <v>L</v>
          </cell>
          <cell r="C10">
            <v>2056</v>
          </cell>
          <cell r="D10">
            <v>2090</v>
          </cell>
          <cell r="E10" t="str">
            <v>é</v>
          </cell>
          <cell r="F10">
            <v>1973</v>
          </cell>
          <cell r="G10">
            <v>644</v>
          </cell>
          <cell r="H10">
            <v>481</v>
          </cell>
          <cell r="I10">
            <v>709</v>
          </cell>
          <cell r="J10">
            <v>66</v>
          </cell>
          <cell r="K10">
            <v>73</v>
          </cell>
          <cell r="M10" t="str">
            <v>Staffing Levels - Permanent</v>
          </cell>
          <cell r="N10" t="str">
            <v>L</v>
          </cell>
          <cell r="O10">
            <v>2056</v>
          </cell>
          <cell r="P10">
            <v>2090</v>
          </cell>
          <cell r="Q10" t="str">
            <v>+</v>
          </cell>
          <cell r="R10">
            <v>1973</v>
          </cell>
          <cell r="S10">
            <v>644</v>
          </cell>
          <cell r="T10">
            <v>481</v>
          </cell>
          <cell r="U10">
            <v>709</v>
          </cell>
          <cell r="V10">
            <v>66</v>
          </cell>
          <cell r="W10">
            <v>73</v>
          </cell>
        </row>
        <row r="11">
          <cell r="A11" t="str">
            <v>Availability - Illness</v>
          </cell>
          <cell r="B11" t="str">
            <v>H</v>
          </cell>
          <cell r="C11">
            <v>0.96799999999999997</v>
          </cell>
          <cell r="D11">
            <v>0.97299999999999998</v>
          </cell>
          <cell r="E11" t="str">
            <v>ê</v>
          </cell>
          <cell r="F11">
            <v>0.97099999999999997</v>
          </cell>
          <cell r="G11">
            <v>0.97099999999999997</v>
          </cell>
          <cell r="H11">
            <v>0.96499999999999997</v>
          </cell>
          <cell r="I11">
            <v>0.97299999999999998</v>
          </cell>
          <cell r="J11">
            <v>0.97799999999999998</v>
          </cell>
          <cell r="K11">
            <v>0.97499999999999998</v>
          </cell>
          <cell r="M11" t="str">
            <v>Availability - Illness</v>
          </cell>
          <cell r="N11" t="str">
            <v>H</v>
          </cell>
          <cell r="O11">
            <v>0.96599999999999997</v>
          </cell>
          <cell r="P11">
            <v>0.97299999999999998</v>
          </cell>
          <cell r="Q11" t="str">
            <v>-</v>
          </cell>
          <cell r="R11">
            <v>0.96599999999999997</v>
          </cell>
          <cell r="S11">
            <v>0.96799999999999997</v>
          </cell>
          <cell r="T11">
            <v>0.96199999999999997</v>
          </cell>
          <cell r="U11">
            <v>0.96899999999999997</v>
          </cell>
          <cell r="V11">
            <v>0.95799999999999996</v>
          </cell>
          <cell r="W11">
            <v>0.95799999999999996</v>
          </cell>
        </row>
        <row r="12">
          <cell r="A12" t="str">
            <v>Overtime</v>
          </cell>
          <cell r="B12" t="str">
            <v>L</v>
          </cell>
          <cell r="C12">
            <v>0.17130000000000001</v>
          </cell>
          <cell r="D12">
            <v>0.17399999999999999</v>
          </cell>
          <cell r="E12" t="str">
            <v>ê</v>
          </cell>
          <cell r="F12">
            <v>0.22411426770211618</v>
          </cell>
          <cell r="G12">
            <v>0.23264908683282473</v>
          </cell>
          <cell r="H12">
            <v>0.2547469854111904</v>
          </cell>
          <cell r="I12">
            <v>0.22546662928562045</v>
          </cell>
          <cell r="J12">
            <v>6.6623957196663031E-2</v>
          </cell>
          <cell r="K12">
            <v>4.8780117969946475E-2</v>
          </cell>
          <cell r="M12" t="str">
            <v>Overtime</v>
          </cell>
          <cell r="N12" t="str">
            <v>L</v>
          </cell>
          <cell r="O12">
            <v>0.28289999999999998</v>
          </cell>
          <cell r="P12">
            <v>0.1825</v>
          </cell>
          <cell r="Q12" t="str">
            <v>-</v>
          </cell>
          <cell r="R12">
            <v>0.28012383601794538</v>
          </cell>
          <cell r="S12">
            <v>0.29808390805514412</v>
          </cell>
          <cell r="T12">
            <v>0.3387888640543153</v>
          </cell>
          <cell r="U12">
            <v>0.26475948368407248</v>
          </cell>
          <cell r="V12">
            <v>7.7790535553186255E-2</v>
          </cell>
          <cell r="W12">
            <v>5.4140478553313484E-2</v>
          </cell>
        </row>
        <row r="13">
          <cell r="A13" t="str">
            <v>Corporate Culture for Ethics &amp; Compliance</v>
          </cell>
          <cell r="B13" t="str">
            <v>H</v>
          </cell>
          <cell r="C13">
            <v>5.01</v>
          </cell>
          <cell r="D13">
            <v>5.43</v>
          </cell>
          <cell r="E13" t="str">
            <v>ê</v>
          </cell>
          <cell r="F13">
            <v>4.83</v>
          </cell>
        </row>
        <row r="14">
          <cell r="A14" t="str">
            <v>Employee Development - MAST</v>
          </cell>
          <cell r="B14" t="str">
            <v>H</v>
          </cell>
          <cell r="C14">
            <v>0.98199999999999998</v>
          </cell>
          <cell r="D14">
            <v>0.97</v>
          </cell>
          <cell r="E14" t="str">
            <v>é</v>
          </cell>
          <cell r="F14">
            <v>0.98799999999999999</v>
          </cell>
          <cell r="G14">
            <v>1</v>
          </cell>
          <cell r="H14">
            <v>0.98</v>
          </cell>
          <cell r="I14">
            <v>1</v>
          </cell>
          <cell r="J14">
            <v>0.99</v>
          </cell>
          <cell r="K14">
            <v>0.98</v>
          </cell>
        </row>
        <row r="16">
          <cell r="A16" t="str">
            <v>SAFE and RELIABLE</v>
          </cell>
          <cell r="B16" t="str">
            <v>L/H</v>
          </cell>
          <cell r="C16" t="str">
            <v>Dec 09 YTD</v>
          </cell>
          <cell r="D16" t="str">
            <v>2010 Target</v>
          </cell>
          <cell r="E16" t="str">
            <v>YE Forecast</v>
          </cell>
          <cell r="F16" t="str">
            <v>Gas Delivery</v>
          </cell>
          <cell r="G16" t="str">
            <v>Northern</v>
          </cell>
          <cell r="H16" t="str">
            <v>Central</v>
          </cell>
          <cell r="I16" t="str">
            <v>Southern</v>
          </cell>
          <cell r="J16" t="str">
            <v>GSOC M&amp;R</v>
          </cell>
          <cell r="K16" t="str">
            <v>VP &amp; Support</v>
          </cell>
          <cell r="M16" t="str">
            <v>SAFE and RELIABLE</v>
          </cell>
          <cell r="N16" t="str">
            <v>L/H</v>
          </cell>
          <cell r="O16" t="str">
            <v>Dec 09</v>
          </cell>
          <cell r="P16" t="str">
            <v>2010 Target</v>
          </cell>
          <cell r="Q16" t="str">
            <v>Monthly Status</v>
          </cell>
          <cell r="R16" t="str">
            <v>Gas Delivery</v>
          </cell>
          <cell r="S16" t="str">
            <v>Northern</v>
          </cell>
          <cell r="T16" t="str">
            <v>Central</v>
          </cell>
          <cell r="U16" t="str">
            <v>Southern</v>
          </cell>
          <cell r="V16" t="str">
            <v>GSOC M&amp;R</v>
          </cell>
          <cell r="W16" t="str">
            <v>VP &amp; Support</v>
          </cell>
        </row>
        <row r="17">
          <cell r="A17" t="str">
            <v>Gas Leak Reports Per Mile</v>
          </cell>
          <cell r="B17" t="str">
            <v>L</v>
          </cell>
          <cell r="C17">
            <v>0.20100000000000001</v>
          </cell>
          <cell r="D17">
            <v>0.21</v>
          </cell>
          <cell r="E17" t="str">
            <v>é</v>
          </cell>
          <cell r="F17">
            <v>0.20899999999999999</v>
          </cell>
          <cell r="G17">
            <v>0.246</v>
          </cell>
          <cell r="H17">
            <v>0.23799999999999999</v>
          </cell>
          <cell r="I17">
            <v>0.17199999999999999</v>
          </cell>
          <cell r="M17" t="str">
            <v>Gas Leak Reports Per Mile</v>
          </cell>
          <cell r="N17" t="str">
            <v>L</v>
          </cell>
          <cell r="O17">
            <v>1.2E-2</v>
          </cell>
          <cell r="P17">
            <v>0.21</v>
          </cell>
          <cell r="Q17" t="str">
            <v>+</v>
          </cell>
          <cell r="R17">
            <v>1.7999999999999999E-2</v>
          </cell>
          <cell r="S17">
            <v>1.9E-2</v>
          </cell>
          <cell r="T17">
            <v>1.7999999999999999E-2</v>
          </cell>
          <cell r="U17">
            <v>1.7000000000000001E-2</v>
          </cell>
        </row>
        <row r="18">
          <cell r="A18" t="str">
            <v>Leak Response Rate</v>
          </cell>
          <cell r="B18" t="str">
            <v>H</v>
          </cell>
          <cell r="C18">
            <v>0.998</v>
          </cell>
          <cell r="D18">
            <v>0.999</v>
          </cell>
          <cell r="E18" t="str">
            <v>é</v>
          </cell>
          <cell r="F18">
            <v>0.999</v>
          </cell>
          <cell r="G18">
            <v>0.999</v>
          </cell>
          <cell r="H18">
            <v>0.998</v>
          </cell>
          <cell r="I18">
            <v>0.999</v>
          </cell>
          <cell r="M18" t="str">
            <v>Leak Response Rate</v>
          </cell>
          <cell r="N18" t="str">
            <v>H</v>
          </cell>
          <cell r="O18">
            <v>0.998</v>
          </cell>
          <cell r="P18">
            <v>0.999</v>
          </cell>
          <cell r="Q18" t="str">
            <v>-</v>
          </cell>
          <cell r="R18">
            <v>0.996</v>
          </cell>
          <cell r="S18">
            <v>0.99399999999999999</v>
          </cell>
          <cell r="T18">
            <v>0.99399999999999999</v>
          </cell>
          <cell r="U18">
            <v>0.998</v>
          </cell>
        </row>
        <row r="19">
          <cell r="A19" t="str">
            <v>Appointments Kept</v>
          </cell>
          <cell r="B19" t="str">
            <v>H</v>
          </cell>
          <cell r="C19" t="str">
            <v>Nov 08 YTD</v>
          </cell>
          <cell r="D19">
            <v>0.92</v>
          </cell>
          <cell r="E19" t="str">
            <v>ê</v>
          </cell>
          <cell r="F19">
            <v>0.89300000000000002</v>
          </cell>
          <cell r="G19">
            <v>0.90100000000000002</v>
          </cell>
          <cell r="H19">
            <v>0.86799999999999999</v>
          </cell>
          <cell r="I19">
            <v>0.89900000000000002</v>
          </cell>
          <cell r="J19" t="str">
            <v>GSOC M&amp;R</v>
          </cell>
          <cell r="K19" t="str">
            <v>VP &amp; Support</v>
          </cell>
          <cell r="M19" t="str">
            <v>Appointment Kept</v>
          </cell>
          <cell r="N19" t="str">
            <v>H</v>
          </cell>
          <cell r="O19" t="str">
            <v>Nov 08</v>
          </cell>
          <cell r="P19">
            <v>0.92</v>
          </cell>
          <cell r="Q19" t="str">
            <v>-</v>
          </cell>
          <cell r="R19">
            <v>0.87</v>
          </cell>
          <cell r="S19">
            <v>0.88700000000000001</v>
          </cell>
          <cell r="T19">
            <v>0.84199999999999997</v>
          </cell>
          <cell r="U19">
            <v>0.871</v>
          </cell>
          <cell r="V19" t="str">
            <v>GSOC M&amp;R</v>
          </cell>
          <cell r="W19" t="str">
            <v>VP &amp; Support</v>
          </cell>
        </row>
        <row r="20">
          <cell r="A20" t="str">
            <v>BPU Inquiries - Non-Collection</v>
          </cell>
          <cell r="B20" t="str">
            <v>L</v>
          </cell>
          <cell r="C20">
            <v>204</v>
          </cell>
          <cell r="D20">
            <v>140</v>
          </cell>
          <cell r="E20" t="str">
            <v>ê</v>
          </cell>
          <cell r="F20">
            <v>172</v>
          </cell>
          <cell r="G20">
            <v>65</v>
          </cell>
          <cell r="H20">
            <v>51</v>
          </cell>
          <cell r="I20">
            <v>54</v>
          </cell>
          <cell r="M20" t="str">
            <v>BPU Inquiries - Non-Collection</v>
          </cell>
          <cell r="N20" t="str">
            <v>L</v>
          </cell>
          <cell r="O20">
            <v>32</v>
          </cell>
          <cell r="P20">
            <v>3</v>
          </cell>
          <cell r="Q20" t="str">
            <v>-</v>
          </cell>
          <cell r="R20">
            <v>28</v>
          </cell>
          <cell r="S20">
            <v>7</v>
          </cell>
          <cell r="T20">
            <v>8</v>
          </cell>
          <cell r="U20">
            <v>13</v>
          </cell>
        </row>
        <row r="21">
          <cell r="A21" t="str">
            <v>Perception Survey (Residential)</v>
          </cell>
          <cell r="B21" t="str">
            <v>H</v>
          </cell>
          <cell r="C21">
            <v>74</v>
          </cell>
          <cell r="D21">
            <v>76</v>
          </cell>
          <cell r="E21" t="str">
            <v>é</v>
          </cell>
          <cell r="F21">
            <v>76</v>
          </cell>
          <cell r="G21">
            <v>74</v>
          </cell>
          <cell r="H21">
            <v>77</v>
          </cell>
          <cell r="I21">
            <v>76</v>
          </cell>
          <cell r="M21" t="str">
            <v>Perception Survey (Res/Sm Business)</v>
          </cell>
          <cell r="N21" t="str">
            <v>H</v>
          </cell>
          <cell r="O21">
            <v>73</v>
          </cell>
          <cell r="P21">
            <v>76</v>
          </cell>
          <cell r="Q21" t="str">
            <v>o</v>
          </cell>
          <cell r="R21">
            <v>76</v>
          </cell>
          <cell r="S21">
            <v>0.999</v>
          </cell>
          <cell r="T21">
            <v>0.996</v>
          </cell>
          <cell r="U21">
            <v>0.999</v>
          </cell>
        </row>
        <row r="22">
          <cell r="A22" t="str">
            <v>Moment of Truth Survey</v>
          </cell>
          <cell r="B22" t="str">
            <v>H</v>
          </cell>
          <cell r="C22">
            <v>9.1</v>
          </cell>
          <cell r="D22">
            <v>9.3000000000000007</v>
          </cell>
          <cell r="E22" t="str">
            <v>ê</v>
          </cell>
          <cell r="F22">
            <v>9.1</v>
          </cell>
          <cell r="G22">
            <v>9.1</v>
          </cell>
          <cell r="H22">
            <v>8.9</v>
          </cell>
          <cell r="I22">
            <v>9.1999999999999993</v>
          </cell>
          <cell r="M22" t="str">
            <v>Moment of Truth Survey</v>
          </cell>
          <cell r="N22" t="str">
            <v>H</v>
          </cell>
          <cell r="O22">
            <v>9.1</v>
          </cell>
          <cell r="P22">
            <v>9.3000000000000007</v>
          </cell>
          <cell r="Q22" t="str">
            <v>-</v>
          </cell>
          <cell r="R22">
            <v>9</v>
          </cell>
          <cell r="S22">
            <v>9</v>
          </cell>
          <cell r="T22">
            <v>8.8000000000000007</v>
          </cell>
          <cell r="U22">
            <v>9.1</v>
          </cell>
        </row>
        <row r="23">
          <cell r="A23" t="str">
            <v>Damages Per 1,000 Locate Requests</v>
          </cell>
          <cell r="B23" t="str">
            <v>L</v>
          </cell>
          <cell r="C23">
            <v>1.48</v>
          </cell>
          <cell r="D23">
            <v>1.5</v>
          </cell>
          <cell r="E23" t="str">
            <v>ê</v>
          </cell>
          <cell r="F23">
            <v>1.69</v>
          </cell>
          <cell r="G23">
            <v>1.55</v>
          </cell>
          <cell r="H23">
            <v>2.5499999999999998</v>
          </cell>
          <cell r="I23">
            <v>1.69</v>
          </cell>
          <cell r="M23" t="str">
            <v>Damages Per 1,000 Locate Requests</v>
          </cell>
          <cell r="N23" t="str">
            <v>L</v>
          </cell>
          <cell r="O23">
            <v>1.31</v>
          </cell>
          <cell r="P23">
            <v>1.5</v>
          </cell>
          <cell r="Q23" t="str">
            <v>-</v>
          </cell>
          <cell r="R23">
            <v>1.67</v>
          </cell>
          <cell r="S23">
            <v>1.52</v>
          </cell>
          <cell r="T23">
            <v>2.4300000000000002</v>
          </cell>
          <cell r="U23">
            <v>1.67</v>
          </cell>
        </row>
        <row r="24">
          <cell r="A24" t="str">
            <v>Gas Damages Per 1,000 Locate Requests</v>
          </cell>
          <cell r="B24" t="str">
            <v>L</v>
          </cell>
          <cell r="C24">
            <v>2.2799999999999998</v>
          </cell>
          <cell r="D24">
            <v>2.27</v>
          </cell>
          <cell r="E24" t="str">
            <v>ê</v>
          </cell>
          <cell r="F24">
            <v>2.58</v>
          </cell>
          <cell r="G24">
            <v>2.5499999999999998</v>
          </cell>
          <cell r="H24">
            <v>3.34</v>
          </cell>
          <cell r="I24">
            <v>2.3199999999999998</v>
          </cell>
          <cell r="M24" t="str">
            <v>Gas Damages Per 1,000 Locate Requests</v>
          </cell>
          <cell r="N24" t="str">
            <v>L</v>
          </cell>
          <cell r="O24">
            <v>2.25</v>
          </cell>
          <cell r="P24">
            <v>2.27</v>
          </cell>
          <cell r="Q24" t="str">
            <v>-</v>
          </cell>
          <cell r="R24">
            <v>2.85</v>
          </cell>
          <cell r="S24">
            <v>2.62</v>
          </cell>
          <cell r="T24">
            <v>3.09</v>
          </cell>
          <cell r="U24">
            <v>2.9</v>
          </cell>
        </row>
        <row r="25">
          <cell r="A25" t="str">
            <v>Open Leaks</v>
          </cell>
          <cell r="B25" t="str">
            <v>L</v>
          </cell>
          <cell r="C25">
            <v>1558</v>
          </cell>
          <cell r="D25">
            <v>2400</v>
          </cell>
          <cell r="E25" t="str">
            <v>é</v>
          </cell>
          <cell r="F25">
            <v>2146</v>
          </cell>
          <cell r="G25">
            <v>1013</v>
          </cell>
          <cell r="H25">
            <v>388</v>
          </cell>
          <cell r="I25">
            <v>745</v>
          </cell>
          <cell r="M25" t="str">
            <v>Moment of Truth Survey</v>
          </cell>
          <cell r="N25" t="str">
            <v>H</v>
          </cell>
          <cell r="O25">
            <v>9.4</v>
          </cell>
          <cell r="P25">
            <v>9.3000000000000007</v>
          </cell>
          <cell r="Q25" t="str">
            <v>-</v>
          </cell>
          <cell r="R25">
            <v>9.1999999999999993</v>
          </cell>
        </row>
        <row r="26">
          <cell r="A26" t="str">
            <v>% Regulatory Compliance</v>
          </cell>
          <cell r="B26" t="str">
            <v>H</v>
          </cell>
          <cell r="C26">
            <v>0.97</v>
          </cell>
          <cell r="D26">
            <v>1</v>
          </cell>
          <cell r="E26" t="str">
            <v>é</v>
          </cell>
          <cell r="F26">
            <v>1.002</v>
          </cell>
          <cell r="G26">
            <v>1.0009999999999999</v>
          </cell>
          <cell r="H26">
            <v>0.996</v>
          </cell>
          <cell r="I26">
            <v>1.0049999999999999</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ECONOMIC</v>
          </cell>
          <cell r="B28" t="str">
            <v>L/H</v>
          </cell>
          <cell r="C28" t="str">
            <v>Dec 09 YTD</v>
          </cell>
          <cell r="D28" t="str">
            <v>2010 Target</v>
          </cell>
          <cell r="E28" t="str">
            <v>YE Forecast</v>
          </cell>
          <cell r="F28" t="str">
            <v>Gas Delivery</v>
          </cell>
          <cell r="G28" t="str">
            <v>Northern</v>
          </cell>
          <cell r="H28" t="str">
            <v>Central</v>
          </cell>
          <cell r="I28" t="str">
            <v>Southern</v>
          </cell>
          <cell r="J28" t="str">
            <v>GSOC M&amp;R</v>
          </cell>
          <cell r="K28" t="str">
            <v>VP &amp; Support</v>
          </cell>
          <cell r="M28" t="str">
            <v>ECONOMIC</v>
          </cell>
          <cell r="N28" t="str">
            <v>L/H</v>
          </cell>
          <cell r="O28" t="str">
            <v>Dec 09</v>
          </cell>
          <cell r="P28" t="str">
            <v>2010 Target</v>
          </cell>
          <cell r="Q28" t="str">
            <v>Monthly Status</v>
          </cell>
          <cell r="R28" t="str">
            <v>Gas Delivery</v>
          </cell>
          <cell r="S28" t="str">
            <v>Northern</v>
          </cell>
          <cell r="T28" t="str">
            <v>Central</v>
          </cell>
          <cell r="U28" t="str">
            <v>Southern</v>
          </cell>
          <cell r="V28" t="str">
            <v>GSOC M&amp;R</v>
          </cell>
          <cell r="W28" t="str">
            <v>VP &amp; Support</v>
          </cell>
        </row>
        <row r="29">
          <cell r="A29" t="str">
            <v>Total CapEx ($M)</v>
          </cell>
          <cell r="B29" t="str">
            <v>L</v>
          </cell>
          <cell r="C29">
            <v>242.07300000000001</v>
          </cell>
          <cell r="D29">
            <v>345.2</v>
          </cell>
          <cell r="E29" t="str">
            <v>é</v>
          </cell>
          <cell r="F29">
            <v>306.50299999999999</v>
          </cell>
          <cell r="G29">
            <v>112.65485833000001</v>
          </cell>
          <cell r="H29">
            <v>64.946907710000005</v>
          </cell>
          <cell r="I29">
            <v>118.32689246</v>
          </cell>
          <cell r="J29">
            <v>9.4025689999999997</v>
          </cell>
          <cell r="K29">
            <v>1.17</v>
          </cell>
          <cell r="M29" t="str">
            <v>Total CapEx ($M)</v>
          </cell>
          <cell r="N29" t="str">
            <v>L</v>
          </cell>
          <cell r="O29">
            <v>31.324999999999999</v>
          </cell>
          <cell r="P29">
            <v>34.686999999999998</v>
          </cell>
          <cell r="Q29" t="str">
            <v>+</v>
          </cell>
          <cell r="R29">
            <v>26.771000000000001</v>
          </cell>
          <cell r="S29">
            <v>8.4249891199999993</v>
          </cell>
          <cell r="T29">
            <v>6.0602761800000007</v>
          </cell>
          <cell r="U29">
            <v>11.728984799999999</v>
          </cell>
          <cell r="V29">
            <v>0.50339</v>
          </cell>
          <cell r="W29">
            <v>5.3696000000000001E-2</v>
          </cell>
        </row>
        <row r="30">
          <cell r="A30" t="str">
            <v>NJ Stimulus Earnings Contribution ($M)</v>
          </cell>
          <cell r="B30" t="str">
            <v>H</v>
          </cell>
          <cell r="C30" t="str">
            <v>N/A</v>
          </cell>
          <cell r="D30">
            <v>6.2560000000000002</v>
          </cell>
          <cell r="E30" t="str">
            <v>é</v>
          </cell>
          <cell r="F30">
            <v>6.38</v>
          </cell>
          <cell r="G30" t="str">
            <v>N/A</v>
          </cell>
          <cell r="H30" t="str">
            <v>N/A</v>
          </cell>
          <cell r="I30" t="str">
            <v>N/A</v>
          </cell>
          <cell r="M30" t="str">
            <v>NJ Stimulus Capital Spend</v>
          </cell>
          <cell r="N30" t="str">
            <v>L</v>
          </cell>
          <cell r="O30" t="str">
            <v>N/A</v>
          </cell>
          <cell r="P30">
            <v>0.90300000000000002</v>
          </cell>
          <cell r="Q30" t="str">
            <v>-</v>
          </cell>
          <cell r="R30">
            <v>0.81299999999999994</v>
          </cell>
          <cell r="S30" t="str">
            <v>N/A</v>
          </cell>
          <cell r="T30" t="str">
            <v>N/A</v>
          </cell>
          <cell r="U30" t="str">
            <v>N/A</v>
          </cell>
        </row>
        <row r="31">
          <cell r="A31" t="str">
            <v>Capital Projects' Results</v>
          </cell>
          <cell r="B31" t="str">
            <v>H</v>
          </cell>
          <cell r="C31">
            <v>0.4</v>
          </cell>
          <cell r="D31">
            <v>0.95</v>
          </cell>
          <cell r="E31" t="str">
            <v>é</v>
          </cell>
          <cell r="F31" t="str">
            <v>N/A</v>
          </cell>
          <cell r="G31">
            <v>1160</v>
          </cell>
          <cell r="H31">
            <v>349</v>
          </cell>
          <cell r="I31">
            <v>537</v>
          </cell>
          <cell r="M31" t="str">
            <v>Capital Projects' Results</v>
          </cell>
          <cell r="N31" t="str">
            <v>H</v>
          </cell>
          <cell r="O31">
            <v>0.4</v>
          </cell>
          <cell r="P31">
            <v>0.95</v>
          </cell>
          <cell r="Q31" t="str">
            <v>+</v>
          </cell>
          <cell r="R31" t="str">
            <v>N/A</v>
          </cell>
          <cell r="S31">
            <v>1160</v>
          </cell>
          <cell r="T31">
            <v>349</v>
          </cell>
          <cell r="U31">
            <v>537</v>
          </cell>
        </row>
        <row r="32">
          <cell r="A32" t="str">
            <v>Blanket Capital Results</v>
          </cell>
          <cell r="B32" t="str">
            <v>H</v>
          </cell>
          <cell r="C32">
            <v>0.2</v>
          </cell>
          <cell r="D32">
            <v>0.8</v>
          </cell>
          <cell r="E32" t="str">
            <v>é</v>
          </cell>
          <cell r="F32">
            <v>0.8</v>
          </cell>
          <cell r="G32">
            <v>509</v>
          </cell>
          <cell r="H32">
            <v>148</v>
          </cell>
          <cell r="I32">
            <v>324</v>
          </cell>
          <cell r="M32" t="str">
            <v>Blanket Capital Results</v>
          </cell>
          <cell r="N32" t="str">
            <v>H</v>
          </cell>
          <cell r="O32">
            <v>0.8</v>
          </cell>
          <cell r="P32">
            <v>0.8</v>
          </cell>
          <cell r="Q32" t="str">
            <v>+</v>
          </cell>
          <cell r="R32">
            <v>0.8</v>
          </cell>
          <cell r="S32">
            <v>509</v>
          </cell>
          <cell r="T32">
            <v>148</v>
          </cell>
          <cell r="U32">
            <v>324</v>
          </cell>
        </row>
        <row r="33">
          <cell r="A33" t="str">
            <v>Controllable O&amp;M ($M)</v>
          </cell>
          <cell r="B33" t="str">
            <v>L</v>
          </cell>
          <cell r="C33">
            <v>269.036</v>
          </cell>
          <cell r="D33">
            <v>254.137</v>
          </cell>
          <cell r="E33" t="str">
            <v>ê</v>
          </cell>
          <cell r="F33">
            <v>258.916</v>
          </cell>
          <cell r="G33">
            <v>66.663757849999996</v>
          </cell>
          <cell r="H33">
            <v>45.383032490000005</v>
          </cell>
          <cell r="I33">
            <v>73.372476340000006</v>
          </cell>
          <cell r="J33">
            <v>9.7958769300000004</v>
          </cell>
          <cell r="K33">
            <v>37.722999999999999</v>
          </cell>
          <cell r="M33" t="str">
            <v>Controllable O&amp;M ($M)</v>
          </cell>
          <cell r="N33" t="str">
            <v>L</v>
          </cell>
          <cell r="O33">
            <v>28.117000000000001</v>
          </cell>
          <cell r="P33">
            <v>23.056999999999999</v>
          </cell>
          <cell r="Q33" t="str">
            <v>-</v>
          </cell>
          <cell r="R33">
            <v>25.143999999999998</v>
          </cell>
          <cell r="S33">
            <v>7.2495437599999999</v>
          </cell>
          <cell r="T33">
            <v>4.9515319399999997</v>
          </cell>
          <cell r="U33">
            <v>7.1563601999999999</v>
          </cell>
          <cell r="V33">
            <v>0.47747115000000001</v>
          </cell>
          <cell r="W33">
            <v>3.1549999999999998</v>
          </cell>
        </row>
        <row r="34">
          <cell r="A34" t="str">
            <v>Gross Margin Competitive Serv. ($M)</v>
          </cell>
          <cell r="B34" t="str">
            <v>H</v>
          </cell>
          <cell r="C34">
            <v>56.319000000000003</v>
          </cell>
          <cell r="D34">
            <v>62.107999999999997</v>
          </cell>
          <cell r="E34" t="str">
            <v>é</v>
          </cell>
          <cell r="F34">
            <v>62.289955980000002</v>
          </cell>
          <cell r="G34">
            <v>19.927164310000002</v>
          </cell>
          <cell r="H34">
            <v>10.318283840000005</v>
          </cell>
          <cell r="I34">
            <v>27.410298580000006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Fully Loaded $/Service - New Service</v>
          </cell>
          <cell r="B36" t="str">
            <v>L</v>
          </cell>
          <cell r="C36">
            <v>5337</v>
          </cell>
          <cell r="D36">
            <v>5210</v>
          </cell>
          <cell r="E36" t="str">
            <v>é</v>
          </cell>
          <cell r="F36">
            <v>4972.5000590680374</v>
          </cell>
          <cell r="G36">
            <v>5298.0572483841179</v>
          </cell>
          <cell r="H36">
            <v>6091.3319194061505</v>
          </cell>
          <cell r="I36">
            <v>4419.4010884086438</v>
          </cell>
          <cell r="M36" t="str">
            <v>Fully Loaded $/Service - New Service</v>
          </cell>
          <cell r="N36" t="str">
            <v>L</v>
          </cell>
          <cell r="O36">
            <v>5314</v>
          </cell>
          <cell r="P36">
            <v>5249.7369802079265</v>
          </cell>
          <cell r="Q36" t="str">
            <v>-</v>
          </cell>
          <cell r="R36">
            <v>5635.1598062953999</v>
          </cell>
          <cell r="S36">
            <v>5243.4076923076927</v>
          </cell>
          <cell r="T36">
            <v>7070.3521126760561</v>
          </cell>
          <cell r="U36">
            <v>5394.7311320754716</v>
          </cell>
        </row>
        <row r="37">
          <cell r="A37" t="str">
            <v>Fully Loaded $/Unit - Repl. Main</v>
          </cell>
          <cell r="B37" t="str">
            <v>L</v>
          </cell>
          <cell r="C37">
            <v>160.76</v>
          </cell>
          <cell r="D37">
            <v>173</v>
          </cell>
          <cell r="E37" t="str">
            <v>é</v>
          </cell>
          <cell r="F37">
            <v>162.49</v>
          </cell>
          <cell r="G37">
            <v>162.06</v>
          </cell>
          <cell r="H37">
            <v>147.15</v>
          </cell>
          <cell r="I37">
            <v>170.82</v>
          </cell>
          <cell r="J37" t="str">
            <v>GSOC M&amp;R</v>
          </cell>
          <cell r="K37" t="str">
            <v>VP &amp; Support</v>
          </cell>
          <cell r="M37" t="str">
            <v>Fully Loaded $/Unit - Repl. Main</v>
          </cell>
          <cell r="N37" t="str">
            <v>L</v>
          </cell>
          <cell r="O37">
            <v>268.58999999999997</v>
          </cell>
          <cell r="P37">
            <v>173</v>
          </cell>
          <cell r="Q37" t="str">
            <v>-</v>
          </cell>
          <cell r="R37">
            <v>305.83999999999997</v>
          </cell>
          <cell r="S37">
            <v>418.71</v>
          </cell>
          <cell r="T37">
            <v>392.4</v>
          </cell>
          <cell r="U37">
            <v>248.54</v>
          </cell>
        </row>
        <row r="38">
          <cell r="A38" t="str">
            <v>Fully Loaded $/Service - Repl. Service</v>
          </cell>
          <cell r="B38" t="str">
            <v>L</v>
          </cell>
          <cell r="C38">
            <v>4656</v>
          </cell>
          <cell r="D38">
            <v>4700</v>
          </cell>
          <cell r="E38" t="str">
            <v>é</v>
          </cell>
          <cell r="F38">
            <v>4307</v>
          </cell>
          <cell r="G38">
            <v>3877</v>
          </cell>
          <cell r="H38">
            <v>4992</v>
          </cell>
          <cell r="I38">
            <v>4431</v>
          </cell>
          <cell r="M38" t="str">
            <v>Fully Loaded $/Service - Repl. Service</v>
          </cell>
          <cell r="N38" t="str">
            <v>L</v>
          </cell>
          <cell r="O38">
            <v>4096</v>
          </cell>
          <cell r="P38">
            <v>4700</v>
          </cell>
          <cell r="Q38" t="str">
            <v>-</v>
          </cell>
          <cell r="R38">
            <v>4981</v>
          </cell>
          <cell r="S38">
            <v>3913</v>
          </cell>
          <cell r="T38">
            <v>6357</v>
          </cell>
          <cell r="U38">
            <v>5755</v>
          </cell>
        </row>
        <row r="40">
          <cell r="A40" t="str">
            <v>GREEN (ENERGY)</v>
          </cell>
          <cell r="B40" t="str">
            <v>L/H</v>
          </cell>
          <cell r="C40" t="str">
            <v>Dec 09 YTD</v>
          </cell>
          <cell r="D40" t="str">
            <v>2010 Target</v>
          </cell>
          <cell r="E40" t="str">
            <v>YE Forecast</v>
          </cell>
          <cell r="F40" t="str">
            <v>Gas Delivery</v>
          </cell>
          <cell r="G40" t="str">
            <v>Northern</v>
          </cell>
          <cell r="H40" t="str">
            <v>Central</v>
          </cell>
          <cell r="I40" t="str">
            <v>Southern</v>
          </cell>
          <cell r="J40" t="str">
            <v>GSOC M&amp;R</v>
          </cell>
          <cell r="K40" t="str">
            <v>VP &amp; Support</v>
          </cell>
          <cell r="M40" t="str">
            <v>GREEN (ENERGY)</v>
          </cell>
          <cell r="N40" t="str">
            <v>L/H</v>
          </cell>
          <cell r="O40" t="str">
            <v>Dec 09</v>
          </cell>
          <cell r="P40" t="str">
            <v>2010 Target</v>
          </cell>
          <cell r="Q40" t="str">
            <v>Monthly Status</v>
          </cell>
          <cell r="R40" t="str">
            <v>Gas Delivery</v>
          </cell>
          <cell r="S40" t="str">
            <v>Northern</v>
          </cell>
          <cell r="T40" t="str">
            <v>Central</v>
          </cell>
          <cell r="U40" t="str">
            <v>Southern</v>
          </cell>
          <cell r="V40" t="str">
            <v>GSOC M&amp;R</v>
          </cell>
          <cell r="W40" t="str">
            <v>VP &amp; Support</v>
          </cell>
        </row>
        <row r="41">
          <cell r="A41" t="str">
            <v>Fleet MPG</v>
          </cell>
          <cell r="B41" t="str">
            <v>H</v>
          </cell>
          <cell r="C41">
            <v>8.9</v>
          </cell>
          <cell r="D41">
            <v>9.18</v>
          </cell>
          <cell r="E41" t="str">
            <v>é</v>
          </cell>
          <cell r="F41">
            <v>9.18</v>
          </cell>
          <cell r="M41" t="str">
            <v>Fleet MPG</v>
          </cell>
          <cell r="N41" t="str">
            <v>H</v>
          </cell>
          <cell r="O41">
            <v>7.5</v>
          </cell>
          <cell r="P41">
            <v>9.18</v>
          </cell>
          <cell r="Q41" t="str">
            <v>-</v>
          </cell>
          <cell r="R41">
            <v>8.49</v>
          </cell>
        </row>
        <row r="42">
          <cell r="A42" t="str">
            <v>% Landfill Disposal</v>
          </cell>
          <cell r="B42" t="str">
            <v>L</v>
          </cell>
          <cell r="C42">
            <v>7.9000000000000008E-3</v>
          </cell>
          <cell r="D42">
            <v>7.9699999999999997E-3</v>
          </cell>
          <cell r="E42" t="str">
            <v>é</v>
          </cell>
          <cell r="F42">
            <v>5.4999999999999997E-3</v>
          </cell>
          <cell r="G42">
            <v>6.1999999999999998E-3</v>
          </cell>
          <cell r="H42">
            <v>2.3E-3</v>
          </cell>
          <cell r="I42">
            <v>5.1999999999999998E-3</v>
          </cell>
          <cell r="J42">
            <v>0.18870000000000001</v>
          </cell>
          <cell r="K42">
            <v>0</v>
          </cell>
          <cell r="M42" t="str">
            <v>Non-Hazardous Waste</v>
          </cell>
          <cell r="N42" t="str">
            <v>H</v>
          </cell>
          <cell r="O42">
            <v>3.5999999999999999E-3</v>
          </cell>
          <cell r="P42">
            <v>7.9699999999999997E-3</v>
          </cell>
          <cell r="Q42" t="str">
            <v>+</v>
          </cell>
          <cell r="R42">
            <v>4.7000000000000002E-3</v>
          </cell>
          <cell r="S42">
            <v>5.1000000000000004E-3</v>
          </cell>
          <cell r="T42">
            <v>1.4E-3</v>
          </cell>
          <cell r="U42">
            <v>3.3E-3</v>
          </cell>
          <cell r="V42">
            <v>0.46989999999999998</v>
          </cell>
          <cell r="W42">
            <v>0</v>
          </cell>
        </row>
        <row r="43">
          <cell r="A43" t="str">
            <v>DR Control Points Added (# of Control Pts)</v>
          </cell>
          <cell r="B43" t="str">
            <v>H</v>
          </cell>
          <cell r="D43">
            <v>43330</v>
          </cell>
          <cell r="E43" t="str">
            <v>ê</v>
          </cell>
          <cell r="F43">
            <v>16722</v>
          </cell>
          <cell r="G43">
            <v>2662</v>
          </cell>
          <cell r="H43">
            <v>1180</v>
          </cell>
          <cell r="I43">
            <v>12880</v>
          </cell>
          <cell r="M43" t="str">
            <v>DR Control Points Added (# of Control Pts)</v>
          </cell>
          <cell r="N43" t="str">
            <v>H</v>
          </cell>
          <cell r="Q43" t="str">
            <v>+</v>
          </cell>
          <cell r="R43">
            <v>531</v>
          </cell>
          <cell r="S43">
            <v>124</v>
          </cell>
          <cell r="T43">
            <v>1</v>
          </cell>
          <cell r="U43">
            <v>406</v>
          </cell>
        </row>
        <row r="44">
          <cell r="A44" t="str">
            <v>Cost / DR Control Point Added</v>
          </cell>
          <cell r="B44" t="str">
            <v>L</v>
          </cell>
          <cell r="D44">
            <v>298.24</v>
          </cell>
          <cell r="E44" t="str">
            <v>é</v>
          </cell>
          <cell r="F44">
            <v>231.6</v>
          </cell>
          <cell r="G44">
            <v>231.6</v>
          </cell>
          <cell r="H44">
            <v>231.6</v>
          </cell>
          <cell r="I44">
            <v>231.6</v>
          </cell>
          <cell r="M44" t="str">
            <v>Cost / DR Control Point Added</v>
          </cell>
          <cell r="N44" t="str">
            <v>L</v>
          </cell>
          <cell r="P44">
            <v>298.24</v>
          </cell>
          <cell r="Q44" t="str">
            <v>-</v>
          </cell>
          <cell r="R44">
            <v>447.32</v>
          </cell>
          <cell r="S44">
            <v>447.32</v>
          </cell>
          <cell r="T44">
            <v>447.32</v>
          </cell>
          <cell r="U44">
            <v>447.32</v>
          </cell>
        </row>
        <row r="46">
          <cell r="A46" t="str">
            <v>On Track to Meet Target   é   Meeting Target at Risk   çè    Not Expected to Meet Target   ê</v>
          </cell>
          <cell r="O46" t="str">
            <v>LEGEND- Monthly Status: +  = Better than Plan, o  = On Plan, -  = Worse than Plan</v>
          </cell>
        </row>
        <row r="52">
          <cell r="A52" t="str">
            <v>Fix It Right</v>
          </cell>
          <cell r="C52">
            <v>0.86399999999999999</v>
          </cell>
          <cell r="F52">
            <v>0.83599999999999997</v>
          </cell>
          <cell r="R52">
            <v>0.84899999999999998</v>
          </cell>
        </row>
        <row r="53">
          <cell r="E53" t="str">
            <v>çè</v>
          </cell>
        </row>
        <row r="54">
          <cell r="E54" t="str">
            <v>é</v>
          </cell>
        </row>
        <row r="55">
          <cell r="E55" t="str">
            <v>ê</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EconomicSummary"/>
      <sheetName val="EconomicMenu"/>
      <sheetName val="IndexEconomicMenu"/>
      <sheetName val="Reporting_Period"/>
      <sheetName val="CapEx_Month"/>
      <sheetName val="O&amp;M_Month"/>
      <sheetName val="ControlO&amp;M_Month"/>
      <sheetName val="Net Write Off_Month"/>
      <sheetName val="DSO_month"/>
      <sheetName val="Cap_Performance_Month"/>
      <sheetName val="ROIC_Month"/>
      <sheetName val="FFO"/>
      <sheetName val="SolarLoan"/>
      <sheetName val="Prod_Measure"/>
      <sheetName val="ProjectsResults"/>
      <sheetName val="Data_CapEx"/>
      <sheetName val="Data_O&amp;M"/>
      <sheetName val="Data_ControlO&amp;M"/>
      <sheetName val="Data_NetWriteOff"/>
      <sheetName val="Data_DSO"/>
      <sheetName val="Data_Cap_Performance"/>
      <sheetName val="Data_ROIC"/>
      <sheetName val="Data_FFO"/>
      <sheetName val="Data_SolarLoan"/>
      <sheetName val="Data_Prod_Measure"/>
      <sheetName val="Data_ProjectsResults"/>
      <sheetName val="CapEx_YTD_Qtr"/>
      <sheetName val="O&amp;M_YTD_Qtr"/>
      <sheetName val="ControlO&amp;M_Qtr_YTD"/>
      <sheetName val="Net Write Off_YTD_Qtr"/>
      <sheetName val="DSO_YTD_Qtr"/>
      <sheetName val="Cap_Performance_Qtr_YTD"/>
      <sheetName val="ROIC_Qtr_YTD"/>
      <sheetName val="FFO_YTD_Qtr"/>
      <sheetName val="SolarLoan_Qtr_YTD"/>
      <sheetName val="Prod_Measure_Qtr_YTD"/>
      <sheetName val="ProjectsResults_Qtr_YTD"/>
      <sheetName val="Economic_Metrics_Master"/>
    </sheetNames>
    <sheetDataSet>
      <sheetData sheetId="0" refreshError="1">
        <row r="41">
          <cell r="L41" t="str">
            <v>Total CapEx ($M)</v>
          </cell>
          <cell r="M41" t="str">
            <v>L</v>
          </cell>
          <cell r="N41">
            <v>63.3</v>
          </cell>
          <cell r="O41">
            <v>61.8</v>
          </cell>
          <cell r="P41" t="str">
            <v>-</v>
          </cell>
          <cell r="Q41">
            <v>97.597088000000014</v>
          </cell>
          <cell r="R41">
            <v>4.1290000000000004</v>
          </cell>
          <cell r="S41">
            <v>23.844999999999999</v>
          </cell>
          <cell r="T41">
            <v>51.599404999999997</v>
          </cell>
          <cell r="V41" t="str">
            <v>M</v>
          </cell>
        </row>
        <row r="42">
          <cell r="L42" t="str">
            <v>Accountability O&amp;M ($M)</v>
          </cell>
          <cell r="M42" t="str">
            <v>L</v>
          </cell>
          <cell r="N42">
            <v>52.1</v>
          </cell>
          <cell r="O42">
            <v>65.400000000000006</v>
          </cell>
          <cell r="P42" t="str">
            <v>+</v>
          </cell>
          <cell r="Q42">
            <v>57.086735029999993</v>
          </cell>
          <cell r="R42">
            <v>13.959</v>
          </cell>
          <cell r="S42">
            <v>17.876000000000001</v>
          </cell>
          <cell r="T42">
            <v>26.209269772629426</v>
          </cell>
          <cell r="U42">
            <v>2.5595132299999994</v>
          </cell>
          <cell r="V42" t="str">
            <v>M</v>
          </cell>
        </row>
        <row r="43">
          <cell r="L43" t="str">
            <v>Controllable O&amp;M ($M)</v>
          </cell>
          <cell r="M43" t="str">
            <v>L</v>
          </cell>
          <cell r="N43">
            <v>67.2</v>
          </cell>
          <cell r="O43">
            <v>83.100000000000009</v>
          </cell>
          <cell r="P43" t="str">
            <v>+</v>
          </cell>
          <cell r="Q43">
            <v>73.359008329999995</v>
          </cell>
          <cell r="V43" t="str">
            <v>M</v>
          </cell>
        </row>
        <row r="44">
          <cell r="L44" t="str">
            <v>Net Write-Off ($) /$100 billed</v>
          </cell>
          <cell r="M44" t="str">
            <v>L</v>
          </cell>
          <cell r="N44">
            <v>1.22</v>
          </cell>
          <cell r="O44">
            <v>0.82</v>
          </cell>
          <cell r="P44" t="str">
            <v>-</v>
          </cell>
          <cell r="Q44">
            <v>2.7234959560938128</v>
          </cell>
          <cell r="R44">
            <v>0.82</v>
          </cell>
          <cell r="V44" t="str">
            <v>M</v>
          </cell>
        </row>
        <row r="45">
          <cell r="L45" t="str">
            <v>Days Sales Outstanding</v>
          </cell>
          <cell r="M45" t="str">
            <v>L</v>
          </cell>
          <cell r="N45">
            <v>34.4</v>
          </cell>
          <cell r="O45">
            <v>34.5</v>
          </cell>
          <cell r="P45" t="str">
            <v>-</v>
          </cell>
          <cell r="Q45">
            <v>39.495607245370948</v>
          </cell>
          <cell r="R45">
            <v>41.2</v>
          </cell>
          <cell r="V45" t="str">
            <v>M</v>
          </cell>
        </row>
        <row r="46">
          <cell r="L46" t="str">
            <v>Current Capital Performance</v>
          </cell>
          <cell r="M46" t="str">
            <v>H</v>
          </cell>
          <cell r="O46">
            <v>1</v>
          </cell>
          <cell r="P46" t="str">
            <v>o</v>
          </cell>
          <cell r="Q46">
            <v>1.01</v>
          </cell>
          <cell r="R46">
            <v>0</v>
          </cell>
          <cell r="T46">
            <v>1.065922735584663</v>
          </cell>
          <cell r="V46" t="str">
            <v>M</v>
          </cell>
        </row>
        <row r="47">
          <cell r="L47" t="str">
            <v>ROIC</v>
          </cell>
          <cell r="M47" t="str">
            <v>H</v>
          </cell>
          <cell r="N47">
            <v>7.0599999999999996E-2</v>
          </cell>
          <cell r="O47">
            <v>6.2E-2</v>
          </cell>
          <cell r="P47" t="str">
            <v>+</v>
          </cell>
          <cell r="Q47">
            <v>5.8474977635110247E-2</v>
          </cell>
          <cell r="V47" t="str">
            <v>M</v>
          </cell>
        </row>
        <row r="48">
          <cell r="L48" t="str">
            <v>Funds from Operations/Debt</v>
          </cell>
          <cell r="M48" t="str">
            <v>H</v>
          </cell>
          <cell r="O48" t="str">
            <v xml:space="preserve"> </v>
          </cell>
          <cell r="P48" t="str">
            <v xml:space="preserve"> </v>
          </cell>
          <cell r="V48" t="str">
            <v>Q</v>
          </cell>
        </row>
        <row r="49">
          <cell r="L49" t="str">
            <v>(Societal) Cost ($) of PSE&amp;G Solar Loan Program</v>
          </cell>
          <cell r="M49" t="str">
            <v>H</v>
          </cell>
          <cell r="O49">
            <v>1939</v>
          </cell>
          <cell r="P49" t="str">
            <v>-</v>
          </cell>
          <cell r="Q49">
            <v>1529</v>
          </cell>
          <cell r="U49">
            <v>1529</v>
          </cell>
          <cell r="V49" t="str">
            <v>Q</v>
          </cell>
        </row>
        <row r="50">
          <cell r="L50" t="str">
            <v>EE-Productivity Measure (carbon abatement)</v>
          </cell>
          <cell r="M50" t="str">
            <v>L</v>
          </cell>
          <cell r="O50">
            <v>0.26</v>
          </cell>
          <cell r="P50" t="str">
            <v>+</v>
          </cell>
          <cell r="Q50">
            <v>0.26</v>
          </cell>
          <cell r="U50">
            <v>0.35</v>
          </cell>
          <cell r="V50" t="str">
            <v>Q</v>
          </cell>
        </row>
        <row r="51">
          <cell r="L51" t="str">
            <v>Capital Projects' Results</v>
          </cell>
          <cell r="M51" t="str">
            <v>H</v>
          </cell>
          <cell r="P51" t="str">
            <v xml:space="preserve"> </v>
          </cell>
          <cell r="V51" t="str">
            <v>Q</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Sheet1"/>
      <sheetName val="Initiatives"/>
      <sheetName val="Definitions"/>
      <sheetName val="Sheet2"/>
      <sheetName val="Elec"/>
      <sheetName val="Reporting_Period"/>
    </sheetNames>
    <sheetDataSet>
      <sheetData sheetId="0">
        <row r="8">
          <cell r="A8" t="str">
            <v>OSHA Days Away Rate</v>
          </cell>
          <cell r="B8">
            <v>1</v>
          </cell>
          <cell r="D8" t="str">
            <v>L</v>
          </cell>
          <cell r="E8">
            <v>0</v>
          </cell>
          <cell r="F8">
            <v>0</v>
          </cell>
          <cell r="G8" t="str">
            <v>é</v>
          </cell>
          <cell r="H8">
            <v>0</v>
          </cell>
          <cell r="J8" t="str">
            <v>OSHA Days Away Rate</v>
          </cell>
          <cell r="L8">
            <v>0</v>
          </cell>
          <cell r="M8">
            <v>0</v>
          </cell>
          <cell r="N8" t="str">
            <v>+</v>
          </cell>
          <cell r="O8">
            <v>0</v>
          </cell>
        </row>
        <row r="9">
          <cell r="A9" t="str">
            <v>Availability</v>
          </cell>
          <cell r="B9">
            <v>1</v>
          </cell>
          <cell r="D9" t="str">
            <v>H</v>
          </cell>
          <cell r="E9">
            <v>0.99</v>
          </cell>
          <cell r="F9">
            <v>0.98399999999999999</v>
          </cell>
          <cell r="G9" t="str">
            <v>é</v>
          </cell>
          <cell r="H9">
            <v>0.98599999999999999</v>
          </cell>
          <cell r="J9" t="str">
            <v>Availability</v>
          </cell>
          <cell r="L9">
            <v>0.98599999999999999</v>
          </cell>
          <cell r="M9">
            <v>0.97899999999999998</v>
          </cell>
          <cell r="N9" t="str">
            <v>+</v>
          </cell>
          <cell r="O9">
            <v>0.99299999999999999</v>
          </cell>
        </row>
        <row r="10">
          <cell r="A10" t="str">
            <v>Staffing Levels – Permanent</v>
          </cell>
          <cell r="B10">
            <v>1</v>
          </cell>
          <cell r="C10">
            <v>1</v>
          </cell>
          <cell r="D10" t="str">
            <v>L</v>
          </cell>
          <cell r="E10">
            <v>17</v>
          </cell>
          <cell r="F10">
            <v>11</v>
          </cell>
          <cell r="G10" t="str">
            <v xml:space="preserve">  ê</v>
          </cell>
          <cell r="H10">
            <v>13</v>
          </cell>
          <cell r="L10">
            <v>17</v>
          </cell>
          <cell r="M10">
            <v>11</v>
          </cell>
          <cell r="N10" t="str">
            <v>+</v>
          </cell>
          <cell r="O10" t="str">
            <v>13*</v>
          </cell>
        </row>
        <row r="11">
          <cell r="A11" t="str">
            <v xml:space="preserve">Corporate Culture for Ethics and Compliance  </v>
          </cell>
          <cell r="B11">
            <v>1</v>
          </cell>
          <cell r="D11" t="str">
            <v>H</v>
          </cell>
          <cell r="E11" t="str">
            <v>NA</v>
          </cell>
          <cell r="F11">
            <v>5.75</v>
          </cell>
          <cell r="G11" t="str">
            <v xml:space="preserve">  ê</v>
          </cell>
          <cell r="H11">
            <v>4.9400000000000004</v>
          </cell>
          <cell r="L11" t="str">
            <v>NA</v>
          </cell>
          <cell r="M11" t="str">
            <v>NA</v>
          </cell>
          <cell r="O11" t="str">
            <v>NA</v>
          </cell>
        </row>
        <row r="12">
          <cell r="A12" t="str">
            <v>Development - MAST (%)</v>
          </cell>
          <cell r="B12">
            <v>1</v>
          </cell>
          <cell r="D12" t="str">
            <v>H</v>
          </cell>
          <cell r="E12" t="str">
            <v>NA</v>
          </cell>
          <cell r="F12">
            <v>0.97</v>
          </cell>
          <cell r="G12" t="str">
            <v>é</v>
          </cell>
          <cell r="H12">
            <v>1</v>
          </cell>
          <cell r="J12" t="str">
            <v>Development - MAST (%)</v>
          </cell>
          <cell r="L12" t="str">
            <v>NA</v>
          </cell>
          <cell r="M12">
            <v>0.97</v>
          </cell>
          <cell r="N12" t="str">
            <v>+</v>
          </cell>
          <cell r="O12">
            <v>1</v>
          </cell>
        </row>
        <row r="13">
          <cell r="A13" t="str">
            <v xml:space="preserve">*Includes 2 “impacted” associates brought over to displace contractors. Direct labor for these individuals is recovered through RGGI programs. </v>
          </cell>
        </row>
        <row r="14">
          <cell r="A14" t="str">
            <v>SAFE,  RELIABLE</v>
          </cell>
          <cell r="B14" t="str">
            <v>MICP A</v>
          </cell>
          <cell r="C14" t="str">
            <v>MICP B</v>
          </cell>
          <cell r="D14" t="str">
            <v>L/H</v>
          </cell>
          <cell r="E14" t="str">
            <v>2009 YTD</v>
          </cell>
          <cell r="F14" t="str">
            <v>2010 Target</v>
          </cell>
          <cell r="G14" t="str">
            <v>YE Forecast</v>
          </cell>
          <cell r="H14" t="str">
            <v>2010 YTD</v>
          </cell>
          <cell r="K14" t="str">
            <v>L/H</v>
          </cell>
          <cell r="L14">
            <v>40148</v>
          </cell>
          <cell r="M14" t="str">
            <v>2010 Target</v>
          </cell>
          <cell r="N14" t="str">
            <v xml:space="preserve"> Status</v>
          </cell>
          <cell r="O14">
            <v>40513</v>
          </cell>
        </row>
        <row r="15">
          <cell r="A15" t="str">
            <v xml:space="preserve">Solar Loans Closed Capacity (MW) </v>
          </cell>
          <cell r="B15">
            <v>1</v>
          </cell>
          <cell r="D15" t="str">
            <v>H</v>
          </cell>
          <cell r="E15" t="str">
            <v>NA</v>
          </cell>
          <cell r="F15">
            <v>15.6</v>
          </cell>
          <cell r="G15" t="str">
            <v xml:space="preserve">  ê</v>
          </cell>
          <cell r="H15">
            <v>7.43</v>
          </cell>
          <cell r="J15" t="str">
            <v xml:space="preserve">Solar Loans Closed Capacity (MW) </v>
          </cell>
          <cell r="L15" t="str">
            <v>NA</v>
          </cell>
          <cell r="M15">
            <v>0</v>
          </cell>
          <cell r="N15" t="str">
            <v>+</v>
          </cell>
          <cell r="O15">
            <v>2.72</v>
          </cell>
        </row>
        <row r="16">
          <cell r="A16" t="str">
            <v>Solar Loan Program - Average Time to Approve (Residential)</v>
          </cell>
          <cell r="B16">
            <v>1</v>
          </cell>
          <cell r="C16">
            <v>1</v>
          </cell>
          <cell r="D16" t="str">
            <v>L</v>
          </cell>
          <cell r="E16">
            <v>67</v>
          </cell>
          <cell r="F16">
            <v>46</v>
          </cell>
          <cell r="G16" t="str">
            <v xml:space="preserve">  ê</v>
          </cell>
          <cell r="H16">
            <v>65</v>
          </cell>
          <cell r="J16" t="str">
            <v>Solar Loan Program - Average Time to Approve (Residential)</v>
          </cell>
          <cell r="L16">
            <v>44</v>
          </cell>
          <cell r="M16">
            <v>46</v>
          </cell>
          <cell r="N16" t="str">
            <v>-</v>
          </cell>
          <cell r="O16">
            <v>105</v>
          </cell>
        </row>
        <row r="17">
          <cell r="A17" t="str">
            <v>EE Effectiveness (Admin$/(Inv$ +Admin$))</v>
          </cell>
          <cell r="B17">
            <v>1</v>
          </cell>
          <cell r="D17" t="str">
            <v>L</v>
          </cell>
          <cell r="E17" t="str">
            <v>NA</v>
          </cell>
          <cell r="F17">
            <v>9.7000000000000003E-2</v>
          </cell>
          <cell r="G17" t="str">
            <v>é</v>
          </cell>
          <cell r="H17">
            <v>5.7700000000000001E-2</v>
          </cell>
          <cell r="J17" t="str">
            <v>EE Effectiveness (Admin$/(Inv$ +Admin$))</v>
          </cell>
          <cell r="L17" t="str">
            <v>NA</v>
          </cell>
          <cell r="M17">
            <v>9.7000000000000003E-2</v>
          </cell>
          <cell r="N17" t="str">
            <v>+</v>
          </cell>
          <cell r="O17">
            <v>8.8599999999999998E-2</v>
          </cell>
        </row>
        <row r="18">
          <cell r="A18" t="str">
            <v>Solar 4 All Investment Cost per Watt</v>
          </cell>
          <cell r="B18">
            <v>1</v>
          </cell>
          <cell r="D18" t="str">
            <v>L</v>
          </cell>
          <cell r="E18" t="str">
            <v>NA</v>
          </cell>
          <cell r="F18">
            <v>6.5</v>
          </cell>
          <cell r="G18" t="str">
            <v>é</v>
          </cell>
          <cell r="H18">
            <v>6.17</v>
          </cell>
          <cell r="J18" t="str">
            <v>Solar 4 All Investment Cost per Watt</v>
          </cell>
          <cell r="L18" t="str">
            <v>NA</v>
          </cell>
          <cell r="M18">
            <v>6.5</v>
          </cell>
          <cell r="N18" t="str">
            <v>+</v>
          </cell>
          <cell r="O18">
            <v>5.73</v>
          </cell>
        </row>
        <row r="20">
          <cell r="A20" t="str">
            <v>ECONOMIC</v>
          </cell>
          <cell r="B20" t="str">
            <v>MICP A</v>
          </cell>
          <cell r="C20" t="str">
            <v>MICP B</v>
          </cell>
          <cell r="D20" t="str">
            <v>L/H</v>
          </cell>
          <cell r="E20" t="str">
            <v>2009 YTD</v>
          </cell>
          <cell r="F20" t="str">
            <v>2010 Target</v>
          </cell>
          <cell r="G20" t="str">
            <v>YE Forecast</v>
          </cell>
          <cell r="H20" t="str">
            <v>2010 YTD</v>
          </cell>
          <cell r="K20" t="str">
            <v>L/H</v>
          </cell>
          <cell r="L20">
            <v>40148</v>
          </cell>
          <cell r="M20" t="str">
            <v>2010 Target</v>
          </cell>
          <cell r="N20" t="str">
            <v xml:space="preserve"> Status</v>
          </cell>
          <cell r="O20">
            <v>40513</v>
          </cell>
        </row>
        <row r="21">
          <cell r="A21" t="str">
            <v>Controllable O&amp;M  ($MM)</v>
          </cell>
          <cell r="B21">
            <v>1</v>
          </cell>
          <cell r="D21" t="str">
            <v>L</v>
          </cell>
          <cell r="E21">
            <v>2.9</v>
          </cell>
          <cell r="F21">
            <v>4.1100000000000003</v>
          </cell>
          <cell r="G21" t="str">
            <v>é</v>
          </cell>
          <cell r="H21">
            <v>3.2476280000000002</v>
          </cell>
          <cell r="J21" t="str">
            <v>Controllable O&amp;M  ($MM)</v>
          </cell>
          <cell r="L21" t="str">
            <v>NA</v>
          </cell>
          <cell r="M21">
            <v>0.34758299999999998</v>
          </cell>
          <cell r="N21" t="str">
            <v>+</v>
          </cell>
          <cell r="O21">
            <v>0.31246499999999999</v>
          </cell>
        </row>
        <row r="22">
          <cell r="A22" t="str">
            <v>Earnings Contributions ($MM) * Adjusted Plan</v>
          </cell>
          <cell r="B22">
            <v>1</v>
          </cell>
          <cell r="D22" t="str">
            <v>H</v>
          </cell>
          <cell r="E22" t="str">
            <v>NA</v>
          </cell>
          <cell r="F22" t="str">
            <v>10.06/7.91*</v>
          </cell>
          <cell r="G22" t="str">
            <v xml:space="preserve">  ê</v>
          </cell>
          <cell r="H22">
            <v>7.63</v>
          </cell>
          <cell r="J22" t="str">
            <v>Earnings Contributions ($MM) * Adjusted Plan</v>
          </cell>
          <cell r="L22" t="str">
            <v>NA</v>
          </cell>
          <cell r="M22" t="str">
            <v>NA</v>
          </cell>
          <cell r="N22" t="str">
            <v>NA</v>
          </cell>
          <cell r="O22" t="str">
            <v>NA</v>
          </cell>
        </row>
        <row r="23">
          <cell r="A23" t="str">
            <v>EE Productivity (Lifetime $ per kWh)</v>
          </cell>
          <cell r="B23">
            <v>1</v>
          </cell>
          <cell r="D23" t="str">
            <v>L</v>
          </cell>
          <cell r="E23" t="str">
            <v>NA</v>
          </cell>
          <cell r="F23">
            <v>3.5999999999999997E-2</v>
          </cell>
          <cell r="G23" t="str">
            <v>é</v>
          </cell>
          <cell r="H23">
            <v>3.56E-2</v>
          </cell>
          <cell r="J23" t="str">
            <v>EE Productivity (Lifetime $ per kWh)</v>
          </cell>
          <cell r="L23" t="str">
            <v>NA</v>
          </cell>
          <cell r="M23">
            <v>3.5999999999999997E-2</v>
          </cell>
          <cell r="O23">
            <v>2.5000000000000001E-2</v>
          </cell>
        </row>
        <row r="24">
          <cell r="A24" t="str">
            <v>RGGI  Administrative Costs</v>
          </cell>
          <cell r="B24">
            <v>1</v>
          </cell>
          <cell r="D24" t="str">
            <v>L</v>
          </cell>
          <cell r="E24" t="str">
            <v>NA</v>
          </cell>
          <cell r="F24">
            <v>20.3</v>
          </cell>
          <cell r="G24" t="str">
            <v>é</v>
          </cell>
          <cell r="H24">
            <v>10.149936</v>
          </cell>
          <cell r="J24" t="str">
            <v>RGGI  Administrative Costs</v>
          </cell>
          <cell r="L24" t="str">
            <v>NA</v>
          </cell>
          <cell r="M24">
            <v>1.557485</v>
          </cell>
          <cell r="N24" t="str">
            <v>+</v>
          </cell>
          <cell r="O24">
            <v>1.4855160000000001</v>
          </cell>
        </row>
        <row r="25">
          <cell r="A25" t="str">
            <v>RGGI Cumulative Program Investment Levels ($MM)</v>
          </cell>
          <cell r="B25">
            <v>1</v>
          </cell>
          <cell r="D25" t="str">
            <v>H</v>
          </cell>
          <cell r="E25" t="str">
            <v>NA</v>
          </cell>
          <cell r="F25">
            <v>451</v>
          </cell>
          <cell r="G25" t="str">
            <v xml:space="preserve">  ê</v>
          </cell>
          <cell r="H25">
            <v>397.9</v>
          </cell>
          <cell r="J25" t="str">
            <v>RGGI Cumulative Program Investment Levels ($MM)</v>
          </cell>
          <cell r="L25" t="str">
            <v>NA</v>
          </cell>
          <cell r="M25">
            <v>62.8</v>
          </cell>
          <cell r="N25" t="str">
            <v>-</v>
          </cell>
          <cell r="O25">
            <v>51.3</v>
          </cell>
        </row>
        <row r="26">
          <cell r="A26" t="str">
            <v>* See attached</v>
          </cell>
          <cell r="M26" t="str">
            <v xml:space="preserve"> </v>
          </cell>
        </row>
        <row r="27">
          <cell r="A27" t="str">
            <v>GREEN ENERGY</v>
          </cell>
          <cell r="B27" t="str">
            <v>MICP A</v>
          </cell>
          <cell r="C27" t="str">
            <v>MICP B</v>
          </cell>
          <cell r="D27" t="str">
            <v>L/H</v>
          </cell>
          <cell r="E27" t="str">
            <v>2009 YTD</v>
          </cell>
          <cell r="F27" t="str">
            <v>2010 Target</v>
          </cell>
          <cell r="G27" t="str">
            <v>YE Forecast</v>
          </cell>
          <cell r="H27" t="str">
            <v>2010 YTD</v>
          </cell>
          <cell r="K27" t="str">
            <v>L/H</v>
          </cell>
          <cell r="L27">
            <v>40148</v>
          </cell>
          <cell r="M27" t="str">
            <v>2010 Target</v>
          </cell>
          <cell r="N27" t="str">
            <v xml:space="preserve"> Status</v>
          </cell>
          <cell r="O27">
            <v>40513</v>
          </cell>
        </row>
        <row r="28">
          <cell r="A28" t="str">
            <v>Annualized Renewable Energy (MWh)</v>
          </cell>
          <cell r="B28">
            <v>1</v>
          </cell>
          <cell r="C28">
            <v>1</v>
          </cell>
          <cell r="D28" t="str">
            <v>H</v>
          </cell>
          <cell r="E28">
            <v>6909</v>
          </cell>
          <cell r="F28">
            <v>44763.6</v>
          </cell>
          <cell r="G28" t="str">
            <v>é</v>
          </cell>
          <cell r="H28">
            <v>45668</v>
          </cell>
          <cell r="J28" t="str">
            <v>Annualized Renewable Energy (MWh)</v>
          </cell>
          <cell r="L28">
            <v>6633</v>
          </cell>
          <cell r="M28">
            <v>26855</v>
          </cell>
          <cell r="N28" t="str">
            <v>+</v>
          </cell>
          <cell r="O28">
            <v>18417</v>
          </cell>
        </row>
        <row r="29">
          <cell r="A29" t="str">
            <v>Annualized Energy Efficiency Energy Savings (MWh equivalent)</v>
          </cell>
          <cell r="B29">
            <v>1</v>
          </cell>
          <cell r="D29" t="str">
            <v>H</v>
          </cell>
          <cell r="E29" t="str">
            <v>NA</v>
          </cell>
          <cell r="F29">
            <v>222901</v>
          </cell>
          <cell r="G29" t="str">
            <v>é</v>
          </cell>
          <cell r="H29">
            <v>283025</v>
          </cell>
          <cell r="J29" t="str">
            <v>Annualized Energy Efficiency Energy Savings (MWh equivalent)</v>
          </cell>
          <cell r="L29" t="str">
            <v>NA</v>
          </cell>
          <cell r="M29">
            <v>222901</v>
          </cell>
          <cell r="N29" t="str">
            <v>+</v>
          </cell>
          <cell r="O29">
            <v>37085</v>
          </cell>
        </row>
        <row r="30">
          <cell r="A30" t="str">
            <v>DR - MegaWatts</v>
          </cell>
          <cell r="B30">
            <v>1</v>
          </cell>
          <cell r="D30" t="str">
            <v>H</v>
          </cell>
          <cell r="E30" t="str">
            <v>NA</v>
          </cell>
          <cell r="F30">
            <v>43</v>
          </cell>
          <cell r="G30" t="str">
            <v xml:space="preserve">  ê</v>
          </cell>
          <cell r="H30">
            <v>13.27</v>
          </cell>
          <cell r="J30" t="str">
            <v>DR - MegaWatts</v>
          </cell>
          <cell r="L30" t="str">
            <v>NA</v>
          </cell>
          <cell r="M30">
            <v>43</v>
          </cell>
          <cell r="N30" t="str">
            <v>-</v>
          </cell>
          <cell r="O30">
            <v>0.42</v>
          </cell>
        </row>
        <row r="31">
          <cell r="A31" t="str">
            <v>Milestones Completed</v>
          </cell>
          <cell r="B31">
            <v>1</v>
          </cell>
          <cell r="D31" t="str">
            <v>H</v>
          </cell>
          <cell r="E31" t="str">
            <v>NA</v>
          </cell>
          <cell r="F31">
            <v>0.7</v>
          </cell>
          <cell r="G31" t="str">
            <v>é</v>
          </cell>
          <cell r="H31">
            <v>0.79</v>
          </cell>
          <cell r="J31" t="str">
            <v>Milestones Completed</v>
          </cell>
          <cell r="L31" t="str">
            <v>NA</v>
          </cell>
          <cell r="M31">
            <v>0.7</v>
          </cell>
          <cell r="N31" t="str">
            <v>+</v>
          </cell>
          <cell r="O31">
            <v>0.79</v>
          </cell>
        </row>
        <row r="32">
          <cell r="B32">
            <v>19</v>
          </cell>
          <cell r="C32">
            <v>3</v>
          </cell>
        </row>
        <row r="33">
          <cell r="A33" t="str">
            <v>On track to meet target  é   Meeting target at risk   çè    Not expected to meet target     ê</v>
          </cell>
          <cell r="J33" t="str">
            <v>LEGEND:       Monthly Status:      +  = Better than Plan,     o  = On Plan,      -  = Worse than Plan</v>
          </cell>
        </row>
        <row r="34">
          <cell r="B34">
            <v>13</v>
          </cell>
          <cell r="C34">
            <v>3</v>
          </cell>
        </row>
        <row r="36">
          <cell r="B36">
            <v>0.68421052631578949</v>
          </cell>
          <cell r="C36">
            <v>1</v>
          </cell>
        </row>
        <row r="37">
          <cell r="A37" t="str">
            <v>*Utility Level Metric</v>
          </cell>
        </row>
        <row r="39">
          <cell r="F39">
            <v>962772</v>
          </cell>
        </row>
        <row r="40">
          <cell r="F40">
            <v>356040</v>
          </cell>
          <cell r="H40">
            <v>184</v>
          </cell>
        </row>
        <row r="41">
          <cell r="F41">
            <v>1318812</v>
          </cell>
          <cell r="H41">
            <v>184</v>
          </cell>
        </row>
      </sheetData>
      <sheetData sheetId="1"/>
      <sheetData sheetId="2"/>
      <sheetData sheetId="3" refreshError="1"/>
      <sheetData sheetId="4" refreshError="1"/>
      <sheetData sheetId="5" refreshError="1"/>
      <sheetData sheetId="6"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A8" t="str">
            <v>OSHA Recordable Incidence Rate</v>
          </cell>
          <cell r="B8" t="str">
            <v>L</v>
          </cell>
          <cell r="C8">
            <v>1.5801205782488879</v>
          </cell>
          <cell r="D8">
            <v>1.39</v>
          </cell>
          <cell r="E8" t="str">
            <v>ê</v>
          </cell>
          <cell r="F8">
            <v>1.7716194643412808</v>
          </cell>
          <cell r="G8">
            <v>3.0927427961874212</v>
          </cell>
          <cell r="H8">
            <v>1.9147556120290266</v>
          </cell>
          <cell r="I8">
            <v>1.5202012320774927</v>
          </cell>
          <cell r="J8">
            <v>2.4014264953667777</v>
          </cell>
          <cell r="K8">
            <v>1.3433908528516829</v>
          </cell>
          <cell r="L8">
            <v>1.1390489766855185</v>
          </cell>
          <cell r="M8">
            <v>0</v>
          </cell>
          <cell r="N8">
            <v>0</v>
          </cell>
        </row>
        <row r="9">
          <cell r="A9" t="str">
            <v>OSHA Days Away Rate (Severity)</v>
          </cell>
          <cell r="B9" t="str">
            <v>L</v>
          </cell>
          <cell r="C9">
            <v>12.82907421863978</v>
          </cell>
          <cell r="D9">
            <v>6.96</v>
          </cell>
          <cell r="E9" t="str">
            <v>ê</v>
          </cell>
          <cell r="F9">
            <v>19.487814107754087</v>
          </cell>
          <cell r="G9">
            <v>50.809345937364782</v>
          </cell>
          <cell r="H9">
            <v>28.721334180435399</v>
          </cell>
          <cell r="I9">
            <v>0</v>
          </cell>
          <cell r="J9">
            <v>20.011887461389815</v>
          </cell>
          <cell r="K9">
            <v>42.988507291253853</v>
          </cell>
          <cell r="L9">
            <v>5.6952448834275922</v>
          </cell>
          <cell r="M9">
            <v>0</v>
          </cell>
          <cell r="N9">
            <v>0</v>
          </cell>
        </row>
        <row r="10">
          <cell r="A10" t="str">
            <v>Motor Vehicle Accident Rate</v>
          </cell>
          <cell r="B10" t="str">
            <v>L</v>
          </cell>
          <cell r="C10">
            <v>5.9663560690885316</v>
          </cell>
          <cell r="D10">
            <v>3.88</v>
          </cell>
          <cell r="E10" t="str">
            <v>ê</v>
          </cell>
          <cell r="F10">
            <v>6.571678915513381</v>
          </cell>
          <cell r="G10">
            <v>6.448384928717501</v>
          </cell>
          <cell r="H10">
            <v>9.059262544518397</v>
          </cell>
          <cell r="I10">
            <v>13.894666981612451</v>
          </cell>
          <cell r="J10">
            <v>4.3566362974947035</v>
          </cell>
          <cell r="K10">
            <v>3.4214665089750769</v>
          </cell>
          <cell r="L10">
            <v>5.7526862647903965</v>
          </cell>
          <cell r="M10">
            <v>2.1460862361832285</v>
          </cell>
          <cell r="N10">
            <v>3.1264883387195779</v>
          </cell>
        </row>
        <row r="11">
          <cell r="A11" t="str">
            <v>Availability - Illness</v>
          </cell>
          <cell r="B11" t="str">
            <v>H</v>
          </cell>
          <cell r="C11">
            <v>0.96742033603015776</v>
          </cell>
          <cell r="D11">
            <v>0.97299999999999998</v>
          </cell>
          <cell r="E11" t="str">
            <v>ê</v>
          </cell>
          <cell r="F11">
            <v>0.96793335842588191</v>
          </cell>
          <cell r="G11">
            <v>0.9673859247878589</v>
          </cell>
          <cell r="H11">
            <v>0.9684715406719816</v>
          </cell>
          <cell r="I11">
            <v>0.96731047051614205</v>
          </cell>
          <cell r="J11">
            <v>0.96079765344486456</v>
          </cell>
          <cell r="K11">
            <v>0.97321609213290794</v>
          </cell>
          <cell r="L11">
            <v>0.96589656177197636</v>
          </cell>
          <cell r="M11">
            <v>0.9825649128729913</v>
          </cell>
          <cell r="N11">
            <v>0.97655148915080459</v>
          </cell>
        </row>
        <row r="12">
          <cell r="A12" t="str">
            <v>Overtime</v>
          </cell>
          <cell r="B12" t="str">
            <v>L</v>
          </cell>
          <cell r="C12">
            <v>0.22955571611408318</v>
          </cell>
          <cell r="D12">
            <v>0.154</v>
          </cell>
          <cell r="E12" t="str">
            <v>ê</v>
          </cell>
          <cell r="F12">
            <v>0.20263991287408198</v>
          </cell>
          <cell r="G12">
            <v>0.20435488412870895</v>
          </cell>
          <cell r="H12">
            <v>0.29189162638689192</v>
          </cell>
          <cell r="I12">
            <v>0.27779873952934697</v>
          </cell>
          <cell r="J12">
            <v>0.21910924467724219</v>
          </cell>
          <cell r="K12">
            <v>0.32166757450782041</v>
          </cell>
          <cell r="L12">
            <v>6.8404949988857974E-2</v>
          </cell>
          <cell r="M12">
            <v>0.18090732741325349</v>
          </cell>
          <cell r="N12">
            <v>3.640320062176429E-2</v>
          </cell>
        </row>
        <row r="13">
          <cell r="A13" t="str">
            <v>Staffing Levels - Permanent</v>
          </cell>
          <cell r="B13" t="str">
            <v>L</v>
          </cell>
          <cell r="C13">
            <v>2661</v>
          </cell>
          <cell r="D13">
            <v>2702</v>
          </cell>
          <cell r="E13" t="str">
            <v>ê</v>
          </cell>
          <cell r="F13">
            <v>2722</v>
          </cell>
          <cell r="G13">
            <v>463</v>
          </cell>
          <cell r="H13">
            <v>444</v>
          </cell>
          <cell r="I13">
            <v>441</v>
          </cell>
          <cell r="J13">
            <v>507</v>
          </cell>
          <cell r="K13">
            <v>69</v>
          </cell>
          <cell r="L13">
            <v>402</v>
          </cell>
          <cell r="M13">
            <v>210</v>
          </cell>
          <cell r="N13">
            <v>186</v>
          </cell>
        </row>
        <row r="14">
          <cell r="A14" t="str">
            <v>Corporate Culture for Ethics and Compliance</v>
          </cell>
          <cell r="B14" t="str">
            <v>H</v>
          </cell>
          <cell r="C14">
            <v>0.59</v>
          </cell>
          <cell r="D14">
            <v>0.72</v>
          </cell>
          <cell r="E14" t="str">
            <v>ê</v>
          </cell>
          <cell r="F14">
            <v>0.65</v>
          </cell>
          <cell r="G14">
            <v>0.97265625</v>
          </cell>
          <cell r="H14">
            <v>1</v>
          </cell>
          <cell r="I14">
            <v>1</v>
          </cell>
          <cell r="J14">
            <v>1</v>
          </cell>
          <cell r="K14">
            <v>1</v>
          </cell>
          <cell r="L14">
            <v>0.99188311688311692</v>
          </cell>
          <cell r="M14">
            <v>0.98743464327879915</v>
          </cell>
          <cell r="N14">
            <v>0.98270487669574869</v>
          </cell>
        </row>
        <row r="15">
          <cell r="A15" t="str">
            <v>Employee Development - MAST</v>
          </cell>
          <cell r="B15" t="str">
            <v>H</v>
          </cell>
          <cell r="C15">
            <v>0.25242980561555078</v>
          </cell>
          <cell r="D15">
            <v>0.95</v>
          </cell>
          <cell r="E15" t="str">
            <v>é</v>
          </cell>
          <cell r="F15">
            <v>0.7411271062271062</v>
          </cell>
          <cell r="G15">
            <v>0.70104545454545442</v>
          </cell>
          <cell r="H15">
            <v>0.78067567567567575</v>
          </cell>
          <cell r="I15">
            <v>0.69382221357712504</v>
          </cell>
          <cell r="J15">
            <v>0.72447368421052638</v>
          </cell>
          <cell r="K15">
            <v>0.62678571428571428</v>
          </cell>
          <cell r="L15">
            <v>0.76045454545454538</v>
          </cell>
          <cell r="M15">
            <v>0.70782945736434111</v>
          </cell>
          <cell r="N15">
            <v>0.77712177121771231</v>
          </cell>
        </row>
        <row r="16">
          <cell r="A16" t="str">
            <v>Employee Technical Training - BU</v>
          </cell>
          <cell r="B16" t="str">
            <v>H</v>
          </cell>
          <cell r="C16">
            <v>0.52897037713689155</v>
          </cell>
          <cell r="D16">
            <v>1</v>
          </cell>
          <cell r="E16" t="str">
            <v>é</v>
          </cell>
          <cell r="F16">
            <v>0.82999940992506049</v>
          </cell>
          <cell r="G16">
            <v>0.65740490963042897</v>
          </cell>
          <cell r="H16">
            <v>0.76171015403961018</v>
          </cell>
          <cell r="I16">
            <v>0.72124183006535947</v>
          </cell>
          <cell r="J16">
            <v>0.90392587173860039</v>
          </cell>
          <cell r="K16">
            <v>1.5518590998043054</v>
          </cell>
          <cell r="L16">
            <v>0.77643504531722052</v>
          </cell>
          <cell r="M16">
            <v>1.6584699453551912</v>
          </cell>
        </row>
        <row r="17">
          <cell r="A17" t="str">
            <v>Hours To Work</v>
          </cell>
          <cell r="B17" t="str">
            <v>L</v>
          </cell>
          <cell r="C17" t="str">
            <v>Dec '09 YTD</v>
          </cell>
          <cell r="D17" t="str">
            <v>NT</v>
          </cell>
          <cell r="E17" t="str">
            <v>é</v>
          </cell>
          <cell r="F17">
            <v>2.3854513653438832E-2</v>
          </cell>
          <cell r="G17">
            <v>4.4137329117537871E-2</v>
          </cell>
          <cell r="H17">
            <v>2.3654162603585747E-2</v>
          </cell>
          <cell r="I17">
            <v>2.5531167767927847E-2</v>
          </cell>
          <cell r="J17">
            <v>1.4332174031105226E-2</v>
          </cell>
          <cell r="K17">
            <v>0.17249770113538127</v>
          </cell>
          <cell r="L17" t="str">
            <v>UOS</v>
          </cell>
          <cell r="M17" t="str">
            <v>DP&amp;C</v>
          </cell>
        </row>
        <row r="18">
          <cell r="A18" t="str">
            <v>SAIFI</v>
          </cell>
          <cell r="B18" t="str">
            <v>L</v>
          </cell>
          <cell r="C18">
            <v>0.7</v>
          </cell>
          <cell r="D18">
            <v>0.7</v>
          </cell>
          <cell r="E18" t="str">
            <v>ê</v>
          </cell>
          <cell r="F18">
            <v>0.84</v>
          </cell>
          <cell r="G18">
            <v>0.79</v>
          </cell>
          <cell r="H18">
            <v>0.72</v>
          </cell>
          <cell r="I18">
            <v>0.83</v>
          </cell>
          <cell r="J18">
            <v>1.01</v>
          </cell>
        </row>
        <row r="19">
          <cell r="A19" t="str">
            <v>MAIFI</v>
          </cell>
          <cell r="B19" t="str">
            <v>ELECTRIC DELIVERY</v>
          </cell>
          <cell r="C19">
            <v>1.24</v>
          </cell>
          <cell r="D19">
            <v>1.25</v>
          </cell>
          <cell r="E19" t="str">
            <v>ê</v>
          </cell>
          <cell r="F19">
            <v>1.31</v>
          </cell>
          <cell r="G19">
            <v>1.55</v>
          </cell>
          <cell r="H19">
            <v>1.01</v>
          </cell>
          <cell r="I19">
            <v>1.41</v>
          </cell>
          <cell r="J19">
            <v>1.28</v>
          </cell>
          <cell r="K19">
            <v>3.2511263359225433E-2</v>
          </cell>
        </row>
        <row r="20">
          <cell r="A20" t="str">
            <v>SAFE, RELIABLE</v>
          </cell>
          <cell r="B20" t="str">
            <v>L/H</v>
          </cell>
          <cell r="C20" t="str">
            <v>Nov 08 YTD</v>
          </cell>
          <cell r="D20" t="str">
            <v>2009 Target</v>
          </cell>
          <cell r="E20" t="str">
            <v>YE Forecast</v>
          </cell>
          <cell r="F20" t="str">
            <v>Electric Delivery</v>
          </cell>
          <cell r="G20" t="str">
            <v>Central</v>
          </cell>
          <cell r="H20" t="str">
            <v>Metro</v>
          </cell>
          <cell r="I20" t="str">
            <v>Pal</v>
          </cell>
          <cell r="J20" t="str">
            <v>South</v>
          </cell>
          <cell r="K20" t="str">
            <v>TC&amp;M</v>
          </cell>
          <cell r="L20" t="str">
            <v>UOS</v>
          </cell>
          <cell r="M20" t="str">
            <v>DPCG</v>
          </cell>
          <cell r="P20" t="str">
            <v>SAFE, RELIABLE</v>
          </cell>
          <cell r="Q20" t="str">
            <v>L/H</v>
          </cell>
          <cell r="R20">
            <v>39753</v>
          </cell>
          <cell r="S20" t="str">
            <v>2009 Plan</v>
          </cell>
          <cell r="T20" t="str">
            <v>Monthly Status</v>
          </cell>
          <cell r="U20" t="str">
            <v>Electric
Delivery</v>
          </cell>
          <cell r="V20" t="str">
            <v>Central</v>
          </cell>
          <cell r="W20" t="str">
            <v>Metro</v>
          </cell>
          <cell r="X20" t="str">
            <v>Pal</v>
          </cell>
          <cell r="Y20" t="str">
            <v>South</v>
          </cell>
          <cell r="Z20" t="str">
            <v>TC&amp;M</v>
          </cell>
          <cell r="AA20" t="str">
            <v>UOS</v>
          </cell>
          <cell r="AB20" t="str">
            <v>DPCG</v>
          </cell>
          <cell r="AC20">
            <v>0.96092307692307677</v>
          </cell>
        </row>
        <row r="21">
          <cell r="A21" t="str">
            <v>SAIFI</v>
          </cell>
          <cell r="B21" t="str">
            <v>L</v>
          </cell>
          <cell r="C21">
            <v>0.66</v>
          </cell>
          <cell r="D21">
            <v>0.72</v>
          </cell>
          <cell r="E21" t="str">
            <v>é</v>
          </cell>
          <cell r="F21">
            <v>0.64</v>
          </cell>
          <cell r="G21">
            <v>0.56999999999999995</v>
          </cell>
          <cell r="H21">
            <v>0.55000000000000004</v>
          </cell>
          <cell r="I21">
            <v>0.63</v>
          </cell>
          <cell r="J21">
            <v>0.81</v>
          </cell>
          <cell r="K21">
            <v>1.9867549668874173E-2</v>
          </cell>
          <cell r="P21" t="str">
            <v>SAIFI</v>
          </cell>
          <cell r="Q21" t="str">
            <v>L</v>
          </cell>
          <cell r="R21">
            <v>0.04</v>
          </cell>
          <cell r="S21">
            <v>5.0996821272297967E-2</v>
          </cell>
          <cell r="T21" t="str">
            <v>+</v>
          </cell>
          <cell r="U21">
            <v>0.04</v>
          </cell>
          <cell r="V21">
            <v>0.03</v>
          </cell>
          <cell r="W21">
            <v>0.03</v>
          </cell>
          <cell r="X21">
            <v>0.03</v>
          </cell>
          <cell r="Y21">
            <v>0.05</v>
          </cell>
          <cell r="AC21">
            <v>1.699885956663532</v>
          </cell>
        </row>
        <row r="22">
          <cell r="A22" t="str">
            <v>MAIFI</v>
          </cell>
          <cell r="B22" t="str">
            <v>L</v>
          </cell>
          <cell r="C22">
            <v>1.24</v>
          </cell>
          <cell r="D22">
            <v>1.25</v>
          </cell>
          <cell r="E22" t="str">
            <v>é</v>
          </cell>
          <cell r="F22">
            <v>1.1399999999999999</v>
          </cell>
          <cell r="G22">
            <v>1.06</v>
          </cell>
          <cell r="H22">
            <v>0.78</v>
          </cell>
          <cell r="I22">
            <v>1.27</v>
          </cell>
          <cell r="J22">
            <v>1.44</v>
          </cell>
          <cell r="K22">
            <v>3.5651092039635075E-2</v>
          </cell>
          <cell r="P22" t="str">
            <v>MAIFI</v>
          </cell>
          <cell r="Q22" t="str">
            <v>L</v>
          </cell>
          <cell r="R22">
            <v>0.09</v>
          </cell>
          <cell r="S22">
            <v>0.10869565217391314</v>
          </cell>
          <cell r="T22" t="str">
            <v>+</v>
          </cell>
          <cell r="U22">
            <v>0.08</v>
          </cell>
          <cell r="V22">
            <v>0.11</v>
          </cell>
          <cell r="W22">
            <v>0.05</v>
          </cell>
          <cell r="X22">
            <v>7.0000000000000007E-2</v>
          </cell>
          <cell r="Y22">
            <v>0.1</v>
          </cell>
          <cell r="Z22">
            <v>3.5651092039635075E-2</v>
          </cell>
          <cell r="AC22">
            <v>0.99218122001978371</v>
          </cell>
        </row>
        <row r="23">
          <cell r="A23" t="str">
            <v>CAIDI</v>
          </cell>
          <cell r="B23" t="str">
            <v>L</v>
          </cell>
          <cell r="C23">
            <v>65.349999999999994</v>
          </cell>
          <cell r="D23">
            <v>66.5</v>
          </cell>
          <cell r="E23" t="str">
            <v>é</v>
          </cell>
          <cell r="F23">
            <v>64.11</v>
          </cell>
          <cell r="G23">
            <v>64.81</v>
          </cell>
          <cell r="H23">
            <v>69.06</v>
          </cell>
          <cell r="I23">
            <v>58.25</v>
          </cell>
          <cell r="J23">
            <v>65.19</v>
          </cell>
          <cell r="P23" t="str">
            <v>CAIDI</v>
          </cell>
          <cell r="Q23" t="str">
            <v>L</v>
          </cell>
          <cell r="R23">
            <v>46.84</v>
          </cell>
          <cell r="S23">
            <v>58.344090663574896</v>
          </cell>
          <cell r="T23" t="str">
            <v>-</v>
          </cell>
          <cell r="U23">
            <v>70.39</v>
          </cell>
          <cell r="V23">
            <v>53.15</v>
          </cell>
          <cell r="W23">
            <v>136.38999999999999</v>
          </cell>
          <cell r="X23">
            <v>53.49</v>
          </cell>
          <cell r="Y23">
            <v>49.89</v>
          </cell>
          <cell r="AC23">
            <v>1.0032585360662474</v>
          </cell>
        </row>
        <row r="24">
          <cell r="A24" t="str">
            <v>CEMI</v>
          </cell>
          <cell r="B24" t="str">
            <v>L</v>
          </cell>
          <cell r="C24">
            <v>0.02</v>
          </cell>
          <cell r="D24">
            <v>2.3E-2</v>
          </cell>
          <cell r="E24" t="str">
            <v>é</v>
          </cell>
          <cell r="F24">
            <v>1.0999999999999999E-2</v>
          </cell>
          <cell r="G24">
            <v>4.0000000000000001E-3</v>
          </cell>
          <cell r="H24">
            <v>6.0000000000000001E-3</v>
          </cell>
          <cell r="I24">
            <v>8.9999999999999993E-3</v>
          </cell>
          <cell r="J24">
            <v>2.4E-2</v>
          </cell>
          <cell r="P24" t="str">
            <v>CEMI</v>
          </cell>
          <cell r="Q24" t="str">
            <v>L</v>
          </cell>
          <cell r="R24" t="str">
            <v>+</v>
          </cell>
          <cell r="S24">
            <v>78.664250974889498</v>
          </cell>
          <cell r="AC24">
            <v>1.005762263116829</v>
          </cell>
        </row>
        <row r="25">
          <cell r="A25" t="str">
            <v>Forced Automatic Outage Rate (Trans)</v>
          </cell>
          <cell r="B25" t="str">
            <v>L</v>
          </cell>
          <cell r="C25">
            <v>4.0816326530612242E-2</v>
          </cell>
          <cell r="D25">
            <v>5.4100000000000002E-2</v>
          </cell>
          <cell r="E25" t="str">
            <v>é</v>
          </cell>
          <cell r="F25">
            <v>2.6490066225165563E-2</v>
          </cell>
          <cell r="G25">
            <v>0.82</v>
          </cell>
          <cell r="H25">
            <v>0.76</v>
          </cell>
          <cell r="I25">
            <v>0.89</v>
          </cell>
          <cell r="J25">
            <v>0.76</v>
          </cell>
          <cell r="K25">
            <v>2.6490066225165563E-2</v>
          </cell>
          <cell r="P25" t="str">
            <v>Forced Automatic Outage Rate (Trans)</v>
          </cell>
          <cell r="Q25" t="str">
            <v>L</v>
          </cell>
          <cell r="R25">
            <v>0</v>
          </cell>
          <cell r="S25">
            <v>0</v>
          </cell>
          <cell r="T25" t="str">
            <v>o</v>
          </cell>
          <cell r="U25">
            <v>0</v>
          </cell>
          <cell r="V25">
            <v>0.88</v>
          </cell>
          <cell r="W25">
            <v>0.56000000000000005</v>
          </cell>
          <cell r="Z25">
            <v>0</v>
          </cell>
          <cell r="AC25">
            <v>1.0348938550023563</v>
          </cell>
        </row>
        <row r="26">
          <cell r="A26" t="str">
            <v>Police &amp; Fire Response Rate</v>
          </cell>
          <cell r="B26" t="str">
            <v>L</v>
          </cell>
          <cell r="C26">
            <v>0.51423441908181589</v>
          </cell>
          <cell r="D26">
            <v>0.53300000000000003</v>
          </cell>
          <cell r="E26" t="str">
            <v>é</v>
          </cell>
          <cell r="F26">
            <v>0.58306847731869405</v>
          </cell>
          <cell r="G26">
            <v>0.6120460584588131</v>
          </cell>
          <cell r="H26">
            <v>0.52329192546583847</v>
          </cell>
          <cell r="I26">
            <v>0.54621848739495793</v>
          </cell>
          <cell r="J26">
            <v>0.60841720036596525</v>
          </cell>
          <cell r="M26">
            <v>8.73</v>
          </cell>
          <cell r="P26" t="str">
            <v>Police &amp; Fire Response Rate</v>
          </cell>
          <cell r="Q26" t="str">
            <v>L</v>
          </cell>
          <cell r="R26">
            <v>0.49466192170818507</v>
          </cell>
          <cell r="S26">
            <v>0.53300000000000003</v>
          </cell>
          <cell r="T26" t="str">
            <v>-</v>
          </cell>
          <cell r="U26">
            <v>0.70744680851063835</v>
          </cell>
          <cell r="V26">
            <v>0.7068965517241379</v>
          </cell>
          <cell r="W26">
            <v>0.72093023255813948</v>
          </cell>
          <cell r="X26">
            <v>0.77142857142857146</v>
          </cell>
          <cell r="Y26">
            <v>0.65384615384615385</v>
          </cell>
          <cell r="Z26">
            <v>8.9499999999999993</v>
          </cell>
          <cell r="AC26">
            <v>1.0455555555555556</v>
          </cell>
        </row>
        <row r="27">
          <cell r="A27" t="str">
            <v>Mean Time to Service</v>
          </cell>
          <cell r="B27" t="str">
            <v>H</v>
          </cell>
          <cell r="C27">
            <v>39.700000000000003</v>
          </cell>
          <cell r="D27">
            <v>39.6</v>
          </cell>
          <cell r="E27" t="str">
            <v>é</v>
          </cell>
          <cell r="F27">
            <v>42.1</v>
          </cell>
          <cell r="G27">
            <v>93</v>
          </cell>
          <cell r="H27">
            <v>100</v>
          </cell>
          <cell r="I27">
            <v>112</v>
          </cell>
          <cell r="J27">
            <v>70</v>
          </cell>
          <cell r="K27">
            <v>2</v>
          </cell>
          <cell r="L27">
            <v>42.1</v>
          </cell>
          <cell r="M27">
            <v>0</v>
          </cell>
          <cell r="P27" t="str">
            <v>Mean Time to Service</v>
          </cell>
          <cell r="Q27" t="str">
            <v>H</v>
          </cell>
          <cell r="R27">
            <v>41.5</v>
          </cell>
          <cell r="S27">
            <v>39.6</v>
          </cell>
          <cell r="T27" t="str">
            <v>+</v>
          </cell>
          <cell r="U27">
            <v>43.17</v>
          </cell>
          <cell r="V27">
            <v>4</v>
          </cell>
          <cell r="W27">
            <v>0</v>
          </cell>
          <cell r="X27">
            <v>0</v>
          </cell>
          <cell r="Z27">
            <v>0</v>
          </cell>
          <cell r="AA27">
            <v>43.17</v>
          </cell>
          <cell r="AC27">
            <v>0.24651162790697678</v>
          </cell>
        </row>
        <row r="28">
          <cell r="A28" t="str">
            <v xml:space="preserve">Perception Survey (Res/Sm Business) </v>
          </cell>
          <cell r="B28" t="str">
            <v>H</v>
          </cell>
          <cell r="C28">
            <v>75.437069158065299</v>
          </cell>
          <cell r="D28">
            <v>76</v>
          </cell>
          <cell r="E28" t="str">
            <v>ê</v>
          </cell>
          <cell r="F28">
            <v>74.173645960159604</v>
          </cell>
          <cell r="P28" t="str">
            <v xml:space="preserve">Perception Survey (Res/Sm Business) </v>
          </cell>
          <cell r="Q28" t="str">
            <v>H</v>
          </cell>
          <cell r="R28">
            <v>75.437069158065299</v>
          </cell>
          <cell r="S28">
            <v>76</v>
          </cell>
          <cell r="T28" t="str">
            <v>-</v>
          </cell>
          <cell r="U28">
            <v>73.253084911504601</v>
          </cell>
        </row>
        <row r="29">
          <cell r="A29" t="str">
            <v>% STLT Trouble Orders ≤ 4 Days</v>
          </cell>
          <cell r="B29" t="str">
            <v>H</v>
          </cell>
          <cell r="C29">
            <v>0.82</v>
          </cell>
          <cell r="D29">
            <v>0.84</v>
          </cell>
          <cell r="E29" t="str">
            <v>é</v>
          </cell>
          <cell r="F29">
            <v>0.85</v>
          </cell>
          <cell r="G29">
            <v>0.82</v>
          </cell>
          <cell r="H29">
            <v>0.84</v>
          </cell>
          <cell r="I29">
            <v>0.88</v>
          </cell>
          <cell r="J29">
            <v>0.84</v>
          </cell>
          <cell r="K29" t="str">
            <v>TC&amp;M</v>
          </cell>
          <cell r="L29" t="str">
            <v>UOS</v>
          </cell>
          <cell r="M29" t="str">
            <v>DP&amp;C</v>
          </cell>
          <cell r="N29" t="str">
            <v>VP&amp;O</v>
          </cell>
          <cell r="P29" t="str">
            <v>% STLT Trouble Orders ≤ 4 Days</v>
          </cell>
          <cell r="Q29" t="str">
            <v>H</v>
          </cell>
          <cell r="R29">
            <v>0.67</v>
          </cell>
          <cell r="S29">
            <v>0.84</v>
          </cell>
          <cell r="T29" t="str">
            <v>-</v>
          </cell>
          <cell r="U29">
            <v>0.72</v>
          </cell>
          <cell r="V29">
            <v>0.71</v>
          </cell>
          <cell r="W29">
            <v>0.69</v>
          </cell>
          <cell r="X29">
            <v>0.7</v>
          </cell>
          <cell r="Y29">
            <v>0.77</v>
          </cell>
          <cell r="Z29" t="str">
            <v>DP&amp;C</v>
          </cell>
          <cell r="AA29" t="str">
            <v>VP&amp;O</v>
          </cell>
          <cell r="AC29" t="str">
            <v>Financial YTD</v>
          </cell>
        </row>
        <row r="30">
          <cell r="A30" t="str">
            <v>Moment of Truth Survey</v>
          </cell>
          <cell r="B30" t="str">
            <v>H</v>
          </cell>
          <cell r="C30">
            <v>8.82</v>
          </cell>
          <cell r="D30">
            <v>9</v>
          </cell>
          <cell r="E30" t="str">
            <v>ê</v>
          </cell>
          <cell r="F30">
            <v>8.76</v>
          </cell>
          <cell r="G30">
            <v>8.64</v>
          </cell>
          <cell r="H30">
            <v>8.9</v>
          </cell>
          <cell r="I30">
            <v>8.64</v>
          </cell>
          <cell r="J30">
            <v>8.83</v>
          </cell>
          <cell r="K30">
            <v>8.4197310000000005</v>
          </cell>
          <cell r="L30">
            <v>25.183886999999999</v>
          </cell>
          <cell r="M30">
            <v>7.97</v>
          </cell>
          <cell r="N30">
            <v>54.793767000000003</v>
          </cell>
          <cell r="P30" t="str">
            <v>Moment of Truth Survey</v>
          </cell>
          <cell r="Q30" t="str">
            <v>H</v>
          </cell>
          <cell r="R30">
            <v>8.68</v>
          </cell>
          <cell r="S30">
            <v>9</v>
          </cell>
          <cell r="T30" t="str">
            <v>-</v>
          </cell>
          <cell r="U30">
            <v>8.65</v>
          </cell>
          <cell r="V30">
            <v>8.5399999999999991</v>
          </cell>
          <cell r="W30">
            <v>8.94</v>
          </cell>
          <cell r="X30">
            <v>8.81</v>
          </cell>
          <cell r="Y30">
            <v>8.27</v>
          </cell>
          <cell r="Z30">
            <v>50.760264999999997</v>
          </cell>
          <cell r="AA30">
            <v>9.1269390000000001</v>
          </cell>
          <cell r="AB30">
            <v>8.07</v>
          </cell>
          <cell r="AC30">
            <v>1.254984571723371</v>
          </cell>
        </row>
        <row r="31">
          <cell r="A31" t="str">
            <v>New Business Construction Survey</v>
          </cell>
          <cell r="B31" t="str">
            <v>H</v>
          </cell>
          <cell r="C31">
            <v>8.4</v>
          </cell>
          <cell r="D31">
            <v>8.5</v>
          </cell>
          <cell r="E31" t="str">
            <v>ê</v>
          </cell>
          <cell r="F31">
            <v>8.17</v>
          </cell>
          <cell r="G31">
            <v>8.11</v>
          </cell>
          <cell r="H31">
            <v>8.02</v>
          </cell>
          <cell r="I31">
            <v>8.39</v>
          </cell>
          <cell r="J31">
            <v>8.14</v>
          </cell>
          <cell r="K31">
            <v>9.2791656199999988</v>
          </cell>
          <cell r="L31">
            <v>26.249333560000004</v>
          </cell>
          <cell r="M31">
            <v>28.88760534</v>
          </cell>
          <cell r="N31">
            <v>151.8380669</v>
          </cell>
          <cell r="P31" t="str">
            <v>New Business Construction Survey</v>
          </cell>
          <cell r="Q31" t="str">
            <v>H</v>
          </cell>
          <cell r="R31">
            <v>8.4600000000000009</v>
          </cell>
          <cell r="S31">
            <v>8.5</v>
          </cell>
          <cell r="T31" t="str">
            <v>-</v>
          </cell>
          <cell r="U31">
            <v>8.25</v>
          </cell>
          <cell r="V31">
            <v>7.9</v>
          </cell>
          <cell r="W31">
            <v>7.98</v>
          </cell>
          <cell r="X31">
            <v>8.64</v>
          </cell>
          <cell r="Y31">
            <v>8.5500000000000007</v>
          </cell>
          <cell r="Z31">
            <v>5.9068916900000001</v>
          </cell>
          <cell r="AA31">
            <v>16.456696230000002</v>
          </cell>
          <cell r="AC31">
            <v>1.1796629956903193</v>
          </cell>
        </row>
        <row r="32">
          <cell r="A32" t="str">
            <v>Number of Regulatory Inquiries</v>
          </cell>
          <cell r="B32" t="str">
            <v>L</v>
          </cell>
          <cell r="C32">
            <v>264</v>
          </cell>
          <cell r="D32">
            <v>219</v>
          </cell>
          <cell r="E32" t="str">
            <v>é</v>
          </cell>
          <cell r="F32">
            <v>145</v>
          </cell>
          <cell r="G32">
            <v>58</v>
          </cell>
          <cell r="H32">
            <v>47</v>
          </cell>
          <cell r="I32">
            <v>21</v>
          </cell>
          <cell r="J32">
            <v>15</v>
          </cell>
          <cell r="K32">
            <v>4</v>
          </cell>
          <cell r="M32">
            <v>0</v>
          </cell>
          <cell r="P32" t="str">
            <v>Number of Regulatory Inquiries</v>
          </cell>
          <cell r="Q32" t="str">
            <v>L</v>
          </cell>
          <cell r="R32">
            <v>9</v>
          </cell>
          <cell r="S32">
            <v>19.88649262202043</v>
          </cell>
          <cell r="T32" t="str">
            <v>+</v>
          </cell>
          <cell r="U32">
            <v>18</v>
          </cell>
          <cell r="V32">
            <v>6</v>
          </cell>
          <cell r="W32">
            <v>8</v>
          </cell>
          <cell r="X32">
            <v>1</v>
          </cell>
          <cell r="Y32">
            <v>2</v>
          </cell>
          <cell r="Z32">
            <v>1</v>
          </cell>
          <cell r="AB32">
            <v>0</v>
          </cell>
          <cell r="AC32">
            <v>1.9598433182879631</v>
          </cell>
        </row>
        <row r="33">
          <cell r="A33" t="str">
            <v>NJ Stimulus Capital Earnings ($M)</v>
          </cell>
          <cell r="B33" t="str">
            <v>H</v>
          </cell>
          <cell r="D33">
            <v>10.199999999999999</v>
          </cell>
          <cell r="E33" t="str">
            <v>ê</v>
          </cell>
          <cell r="F33">
            <v>9.1453803307598012</v>
          </cell>
          <cell r="Q33">
            <v>1.3483108788979365</v>
          </cell>
          <cell r="R33" t="str">
            <v>-</v>
          </cell>
          <cell r="S33">
            <v>1.0976894847298717</v>
          </cell>
          <cell r="AC33">
            <v>1.1033940852196273</v>
          </cell>
        </row>
        <row r="34">
          <cell r="A34" t="str">
            <v>Blanket Capital Results</v>
          </cell>
          <cell r="B34" t="str">
            <v>ELECTRIC DELIVERY</v>
          </cell>
          <cell r="D34">
            <v>0.8</v>
          </cell>
          <cell r="E34" t="str">
            <v>ê</v>
          </cell>
          <cell r="F34">
            <v>0.3</v>
          </cell>
          <cell r="G34">
            <v>0.5</v>
          </cell>
          <cell r="H34">
            <v>0.3</v>
          </cell>
          <cell r="I34">
            <v>0.4</v>
          </cell>
          <cell r="J34">
            <v>0.3</v>
          </cell>
        </row>
        <row r="35">
          <cell r="A35" t="str">
            <v>ECONOMIC</v>
          </cell>
          <cell r="B35" t="str">
            <v>L/H</v>
          </cell>
          <cell r="C35" t="str">
            <v>Nov 08 YTD</v>
          </cell>
          <cell r="D35" t="str">
            <v>2009 Target</v>
          </cell>
          <cell r="E35" t="str">
            <v>YE Forecast</v>
          </cell>
          <cell r="F35" t="str">
            <v>Electric Delivery</v>
          </cell>
          <cell r="G35" t="str">
            <v>Central</v>
          </cell>
          <cell r="H35" t="str">
            <v>Metro</v>
          </cell>
          <cell r="I35" t="str">
            <v>Pal</v>
          </cell>
          <cell r="J35" t="str">
            <v>South</v>
          </cell>
          <cell r="K35" t="str">
            <v>TC&amp;M</v>
          </cell>
          <cell r="L35" t="str">
            <v>UOS</v>
          </cell>
          <cell r="M35" t="str">
            <v>DPCG</v>
          </cell>
          <cell r="N35" t="str">
            <v>VP &amp;
Other</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Accountability O&amp;M ($M)</v>
          </cell>
          <cell r="B37" t="str">
            <v>L</v>
          </cell>
          <cell r="C37">
            <v>271.93947970502148</v>
          </cell>
          <cell r="D37">
            <v>336.1</v>
          </cell>
          <cell r="E37" t="str">
            <v>é</v>
          </cell>
          <cell r="F37">
            <v>287.13512888584472</v>
          </cell>
          <cell r="G37">
            <v>26.340297677074584</v>
          </cell>
          <cell r="H37">
            <v>28.400481658526612</v>
          </cell>
          <cell r="I37">
            <v>22.242666499868164</v>
          </cell>
          <cell r="J37">
            <v>30.938273917604977</v>
          </cell>
          <cell r="K37">
            <v>7.8042798745800779</v>
          </cell>
          <cell r="L37">
            <v>24.488672795625</v>
          </cell>
          <cell r="M37">
            <v>30.841326449909062</v>
          </cell>
          <cell r="N37">
            <v>116.07913001265619</v>
          </cell>
        </row>
        <row r="38">
          <cell r="A38" t="str">
            <v>Transmission Plant Additions and CWIP ($M)</v>
          </cell>
          <cell r="B38" t="str">
            <v>H</v>
          </cell>
          <cell r="C38">
            <v>8.8774625332983828</v>
          </cell>
          <cell r="D38">
            <v>263</v>
          </cell>
          <cell r="E38" t="str">
            <v>é</v>
          </cell>
          <cell r="F38">
            <v>249.49952089599998</v>
          </cell>
          <cell r="L38">
            <v>9.1999999999999993</v>
          </cell>
          <cell r="M38">
            <v>249.49952089599998</v>
          </cell>
        </row>
        <row r="39">
          <cell r="A39" t="str">
            <v>Total Average Inventory ($M)</v>
          </cell>
          <cell r="B39" t="str">
            <v>L</v>
          </cell>
          <cell r="C39">
            <v>61.266265849090914</v>
          </cell>
          <cell r="D39">
            <v>64</v>
          </cell>
          <cell r="E39" t="str">
            <v>ê</v>
          </cell>
          <cell r="F39">
            <v>66.913868701818188</v>
          </cell>
          <cell r="G39">
            <v>7.3235924245454553</v>
          </cell>
          <cell r="H39">
            <v>9.4828189972727284</v>
          </cell>
          <cell r="I39">
            <v>6.5989023245454552</v>
          </cell>
          <cell r="J39">
            <v>6.4313445999999992</v>
          </cell>
          <cell r="K39">
            <v>3.4777055727272721</v>
          </cell>
          <cell r="L39">
            <v>66.913868701818188</v>
          </cell>
          <cell r="M39">
            <v>0.52450691727272736</v>
          </cell>
          <cell r="N39">
            <v>0.47020614027815949</v>
          </cell>
        </row>
        <row r="40">
          <cell r="A40" t="str">
            <v>Capital Projects' Results</v>
          </cell>
          <cell r="B40" t="str">
            <v>H</v>
          </cell>
          <cell r="C40">
            <v>0.7228306053652146</v>
          </cell>
          <cell r="D40">
            <v>0.86799999999999999</v>
          </cell>
          <cell r="E40" t="str">
            <v>ê</v>
          </cell>
          <cell r="F40">
            <v>0.45158641670101024</v>
          </cell>
          <cell r="M40">
            <v>0.92644702465783213</v>
          </cell>
          <cell r="N40">
            <v>0</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row r="49">
          <cell r="A49" t="str">
            <v>LEGEND:   Expected to meet or exceed goal é     Achievement of goal not yet assured çè     Not expected to meet goal 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PeakDemand_Month"/>
      <sheetName val="RenewEnergy_Month"/>
      <sheetName val="NewSolar_Month"/>
      <sheetName val="NonHazardWaste_Month"/>
      <sheetName val="HazardousWaste_Month"/>
      <sheetName val="EnergySavings_Month"/>
      <sheetName val="Data_FleetMPG"/>
      <sheetName val="Data_PeakDemand"/>
      <sheetName val="Data_RenewEnergy"/>
      <sheetName val="Data_NewSolar"/>
      <sheetName val="Data_NonHazardWaste"/>
      <sheetName val="Data_HazardousWaste"/>
      <sheetName val="Data_EnergySavings"/>
      <sheetName val="FleetMPG_Qtr_YTD"/>
      <sheetName val="PeakDemand_Qtr_YTD"/>
      <sheetName val="RenewEnergy_Qtr_YTD"/>
      <sheetName val="NewSolar_Qtr_YTD"/>
      <sheetName val="NonHazardWaste_Qtr_YTD"/>
      <sheetName val="HazardousWaste_Qtr_YTD"/>
      <sheetName val="EnergySavings_Qtr_YTD"/>
    </sheetNames>
    <sheetDataSet>
      <sheetData sheetId="0" refreshError="1">
        <row r="55">
          <cell r="L55" t="str">
            <v>Fleet MPG</v>
          </cell>
          <cell r="M55" t="str">
            <v>H</v>
          </cell>
          <cell r="O55" t="str">
            <v xml:space="preserve"> </v>
          </cell>
          <cell r="P55" t="str">
            <v xml:space="preserve"> </v>
          </cell>
        </row>
        <row r="56">
          <cell r="L56" t="str">
            <v>Peak Demand Reduction (MW)</v>
          </cell>
          <cell r="M56" t="str">
            <v>H</v>
          </cell>
          <cell r="P56" t="str">
            <v>+</v>
          </cell>
          <cell r="Q56" t="str">
            <v>Qtrly</v>
          </cell>
          <cell r="U56" t="str">
            <v>Qtrly</v>
          </cell>
          <cell r="V56" t="e">
            <v>#N/A</v>
          </cell>
        </row>
        <row r="57">
          <cell r="L57" t="str">
            <v>Renewable Energy Generated (kWh)</v>
          </cell>
          <cell r="M57" t="str">
            <v>H</v>
          </cell>
          <cell r="O57" t="str">
            <v xml:space="preserve"> </v>
          </cell>
          <cell r="P57" t="str">
            <v>-</v>
          </cell>
          <cell r="Q57" t="str">
            <v>Qtrly</v>
          </cell>
          <cell r="U57" t="str">
            <v>Qtrly</v>
          </cell>
          <cell r="V57" t="e">
            <v>#N/A</v>
          </cell>
        </row>
        <row r="58">
          <cell r="L58" t="str">
            <v>Net Number of New Solar Meters in UEZs</v>
          </cell>
          <cell r="M58" t="str">
            <v>H</v>
          </cell>
          <cell r="P58" t="str">
            <v>+</v>
          </cell>
          <cell r="Q58" t="str">
            <v>Qtrly</v>
          </cell>
          <cell r="U58" t="str">
            <v>Qtrly</v>
          </cell>
          <cell r="V58" t="e">
            <v>#N/A</v>
          </cell>
        </row>
        <row r="59">
          <cell r="L59" t="str">
            <v>Non-Hazardous Waste</v>
          </cell>
          <cell r="M59" t="str">
            <v>L</v>
          </cell>
          <cell r="P59" t="str">
            <v>+</v>
          </cell>
          <cell r="Q59" t="str">
            <v>Qtrly</v>
          </cell>
          <cell r="U59">
            <v>0</v>
          </cell>
          <cell r="V59" t="e">
            <v>#N/A</v>
          </cell>
        </row>
        <row r="60">
          <cell r="L60" t="str">
            <v>Hazardous Waste</v>
          </cell>
          <cell r="M60" t="str">
            <v>L</v>
          </cell>
          <cell r="P60" t="str">
            <v>-</v>
          </cell>
          <cell r="Q60">
            <v>0</v>
          </cell>
          <cell r="R60">
            <v>0</v>
          </cell>
          <cell r="S60" t="str">
            <v>Qtrly</v>
          </cell>
          <cell r="T60">
            <v>0</v>
          </cell>
          <cell r="V60" t="e">
            <v>#N/A</v>
          </cell>
        </row>
        <row r="61">
          <cell r="L61" t="str">
            <v>Carbon Abatement Energy Savings (kWh equivalent)</v>
          </cell>
          <cell r="M61" t="str">
            <v>H</v>
          </cell>
          <cell r="P61" t="str">
            <v>-</v>
          </cell>
          <cell r="Q61">
            <v>60.2</v>
          </cell>
          <cell r="R61">
            <v>0</v>
          </cell>
          <cell r="S61">
            <v>0</v>
          </cell>
          <cell r="T61">
            <v>0</v>
          </cell>
          <cell r="V61" t="e">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FleetMPG_Month"/>
      <sheetName val="RenewEnergy_Month"/>
      <sheetName val="NonHazardWaste_Month"/>
      <sheetName val="EnergySavings_Month"/>
      <sheetName val="NewSolar"/>
      <sheetName val="PeakDemand"/>
      <sheetName val="HazardousWaste"/>
      <sheetName val="GreenEnergy_Metrics_Master"/>
    </sheetNames>
    <sheetDataSet>
      <sheetData sheetId="0" refreshError="1">
        <row r="55">
          <cell r="A55" t="str">
            <v>Fleet MPG</v>
          </cell>
          <cell r="B55" t="str">
            <v>H</v>
          </cell>
          <cell r="C55">
            <v>8.9209439931870556</v>
          </cell>
          <cell r="D55">
            <v>8.9</v>
          </cell>
          <cell r="E55" t="str">
            <v>é</v>
          </cell>
          <cell r="F55">
            <v>8.9570602114278799</v>
          </cell>
        </row>
        <row r="56">
          <cell r="A56" t="str">
            <v>Renewable Energy Generated (kWh)</v>
          </cell>
          <cell r="B56" t="str">
            <v>H</v>
          </cell>
          <cell r="D56">
            <v>8479000</v>
          </cell>
          <cell r="E56" t="str">
            <v>ê</v>
          </cell>
          <cell r="F56">
            <v>4224148.3118333332</v>
          </cell>
          <cell r="J56">
            <v>4224148.3118333332</v>
          </cell>
        </row>
        <row r="57">
          <cell r="A57" t="str">
            <v>Non-Hazardous Waste</v>
          </cell>
          <cell r="B57" t="str">
            <v>L</v>
          </cell>
          <cell r="C57">
            <v>0.96889999999999998</v>
          </cell>
          <cell r="D57">
            <v>0.96899999999999997</v>
          </cell>
          <cell r="E57" t="str">
            <v>é</v>
          </cell>
          <cell r="F57">
            <v>0.97883845015190174</v>
          </cell>
          <cell r="G57">
            <v>0.72030000000000005</v>
          </cell>
          <cell r="H57">
            <v>0.99099999999999999</v>
          </cell>
          <cell r="I57">
            <v>0.93782407515859079</v>
          </cell>
        </row>
        <row r="58">
          <cell r="A58" t="str">
            <v>Energy Efficiency Energy Savings (kWh equivalent)</v>
          </cell>
          <cell r="B58" t="str">
            <v>H</v>
          </cell>
          <cell r="D58">
            <v>30373151</v>
          </cell>
          <cell r="E58" t="str">
            <v>é</v>
          </cell>
          <cell r="F58">
            <v>53534833.286763452</v>
          </cell>
          <cell r="J58">
            <v>53534833.286763459</v>
          </cell>
        </row>
        <row r="59">
          <cell r="A59" t="str">
            <v>Net Number of New Solar Meters in UEZs</v>
          </cell>
          <cell r="B59" t="str">
            <v>H</v>
          </cell>
          <cell r="D59">
            <v>6</v>
          </cell>
          <cell r="E59" t="str">
            <v>é</v>
          </cell>
          <cell r="F59">
            <v>4</v>
          </cell>
          <cell r="J59">
            <v>4</v>
          </cell>
        </row>
        <row r="60">
          <cell r="A60" t="str">
            <v>Peak Demand Reduction (MW)</v>
          </cell>
          <cell r="B60" t="str">
            <v>H</v>
          </cell>
          <cell r="D60">
            <v>61.8</v>
          </cell>
          <cell r="E60" t="str">
            <v>é</v>
          </cell>
          <cell r="F60">
            <v>61.9</v>
          </cell>
          <cell r="J60">
            <v>61.9</v>
          </cell>
        </row>
        <row r="61">
          <cell r="A61" t="str">
            <v>Hazardous Waste</v>
          </cell>
          <cell r="B61" t="str">
            <v>L</v>
          </cell>
          <cell r="C61">
            <v>1.44</v>
          </cell>
          <cell r="D61">
            <v>3.59</v>
          </cell>
          <cell r="E61" t="str">
            <v>é</v>
          </cell>
          <cell r="F61">
            <v>2.16</v>
          </cell>
        </row>
        <row r="63">
          <cell r="A63" t="str">
            <v>Expected to meet or exceed goal   é    Achievement of goal not yet assured   çè    Not expected to meet goal   ê</v>
          </cell>
        </row>
        <row r="65">
          <cell r="A65" t="str">
            <v>Master Column (A) for Metric Names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s>
    <sheetDataSet>
      <sheetData sheetId="0" refreshError="1"/>
      <sheetData sheetId="1" refreshError="1">
        <row r="9">
          <cell r="A9" t="str">
            <v>OSHA Days Away Rate (Severity)</v>
          </cell>
          <cell r="B9" t="str">
            <v>L</v>
          </cell>
          <cell r="C9">
            <v>0</v>
          </cell>
          <cell r="D9">
            <v>1.61</v>
          </cell>
          <cell r="E9" t="str">
            <v>é</v>
          </cell>
          <cell r="F9">
            <v>0</v>
          </cell>
          <cell r="G9">
            <v>0</v>
          </cell>
          <cell r="H9">
            <v>0</v>
          </cell>
          <cell r="I9">
            <v>0</v>
          </cell>
          <cell r="J9">
            <v>0</v>
          </cell>
          <cell r="K9">
            <v>0</v>
          </cell>
          <cell r="L9">
            <v>0</v>
          </cell>
          <cell r="M9">
            <v>0</v>
          </cell>
          <cell r="N9">
            <v>0</v>
          </cell>
          <cell r="P9" t="str">
            <v>OSHA Days Away Rate (Severity)</v>
          </cell>
          <cell r="Q9" t="str">
            <v>L</v>
          </cell>
          <cell r="R9">
            <v>0</v>
          </cell>
          <cell r="S9">
            <v>1.61</v>
          </cell>
          <cell r="T9" t="str">
            <v>+</v>
          </cell>
          <cell r="U9">
            <v>0</v>
          </cell>
          <cell r="V9">
            <v>0</v>
          </cell>
          <cell r="W9">
            <v>0</v>
          </cell>
          <cell r="X9">
            <v>0</v>
          </cell>
          <cell r="Y9">
            <v>0</v>
          </cell>
          <cell r="Z9">
            <v>0</v>
          </cell>
          <cell r="AA9">
            <v>0</v>
          </cell>
          <cell r="AB9">
            <v>0</v>
          </cell>
          <cell r="AC9">
            <v>0</v>
          </cell>
        </row>
        <row r="10">
          <cell r="A10" t="str">
            <v>Motor Vehicle Accident Rate</v>
          </cell>
          <cell r="B10" t="str">
            <v>L</v>
          </cell>
          <cell r="C10">
            <v>4.12</v>
          </cell>
          <cell r="D10">
            <v>3.21</v>
          </cell>
          <cell r="E10" t="str">
            <v>é</v>
          </cell>
          <cell r="F10">
            <v>6.1</v>
          </cell>
          <cell r="G10">
            <v>0</v>
          </cell>
          <cell r="H10">
            <v>5.12</v>
          </cell>
          <cell r="I10">
            <v>0</v>
          </cell>
          <cell r="J10">
            <v>0</v>
          </cell>
          <cell r="K10">
            <v>175.7</v>
          </cell>
          <cell r="L10">
            <v>0</v>
          </cell>
          <cell r="M10">
            <v>0</v>
          </cell>
          <cell r="N10">
            <v>34.799999999999997</v>
          </cell>
          <cell r="P10" t="str">
            <v>Motor Vehicle Accident Rate</v>
          </cell>
          <cell r="Q10" t="str">
            <v>L</v>
          </cell>
          <cell r="R10">
            <v>4.09</v>
          </cell>
          <cell r="S10">
            <v>3.21</v>
          </cell>
          <cell r="T10" t="str">
            <v>-</v>
          </cell>
          <cell r="U10">
            <v>9.82</v>
          </cell>
          <cell r="V10">
            <v>0</v>
          </cell>
          <cell r="W10">
            <v>9.8000000000000007</v>
          </cell>
          <cell r="X10">
            <v>0</v>
          </cell>
          <cell r="Y10">
            <v>0</v>
          </cell>
          <cell r="Z10">
            <v>337</v>
          </cell>
          <cell r="AA10">
            <v>0</v>
          </cell>
          <cell r="AB10">
            <v>0</v>
          </cell>
          <cell r="AC10">
            <v>0</v>
          </cell>
        </row>
        <row r="11">
          <cell r="A11" t="str">
            <v>Availability - Illness</v>
          </cell>
          <cell r="B11" t="str">
            <v>H</v>
          </cell>
          <cell r="C11">
            <v>0.94599999999999995</v>
          </cell>
          <cell r="D11">
            <v>0.97299999999999998</v>
          </cell>
          <cell r="E11" t="str">
            <v>é</v>
          </cell>
          <cell r="F11">
            <v>0.95499999999999996</v>
          </cell>
          <cell r="G11">
            <v>0.94899999999999995</v>
          </cell>
          <cell r="H11">
            <v>0.95899999999999996</v>
          </cell>
          <cell r="I11">
            <v>0.95699999999999996</v>
          </cell>
          <cell r="J11">
            <v>0.93799999999999994</v>
          </cell>
          <cell r="K11">
            <v>0.95699999999999996</v>
          </cell>
          <cell r="L11">
            <v>0.997</v>
          </cell>
          <cell r="M11">
            <v>1</v>
          </cell>
          <cell r="N11">
            <v>0.99099999999999999</v>
          </cell>
          <cell r="P11" t="str">
            <v>Availability - Illness</v>
          </cell>
          <cell r="Q11" t="str">
            <v>H</v>
          </cell>
          <cell r="R11">
            <v>0.93899999999999995</v>
          </cell>
          <cell r="S11">
            <v>0.97299999999999998</v>
          </cell>
          <cell r="T11" t="str">
            <v>-</v>
          </cell>
          <cell r="U11">
            <v>0.95599999999999996</v>
          </cell>
          <cell r="V11">
            <v>0.94399999999999995</v>
          </cell>
          <cell r="W11">
            <v>0.96699999999999997</v>
          </cell>
          <cell r="X11">
            <v>0.95799999999999996</v>
          </cell>
          <cell r="Y11">
            <v>0.93799999999999994</v>
          </cell>
          <cell r="Z11">
            <v>0.96699999999999997</v>
          </cell>
          <cell r="AA11">
            <v>0.995</v>
          </cell>
          <cell r="AB11">
            <v>1</v>
          </cell>
          <cell r="AC11">
            <v>0.99199999999999999</v>
          </cell>
        </row>
        <row r="12">
          <cell r="A12" t="str">
            <v>Staffing Levels - Permanent</v>
          </cell>
          <cell r="B12" t="str">
            <v>L</v>
          </cell>
          <cell r="C12">
            <v>1525</v>
          </cell>
          <cell r="D12">
            <v>1489</v>
          </cell>
          <cell r="E12" t="str">
            <v>é</v>
          </cell>
          <cell r="F12">
            <v>1586</v>
          </cell>
          <cell r="G12">
            <v>485</v>
          </cell>
          <cell r="H12">
            <v>535</v>
          </cell>
          <cell r="I12">
            <v>221</v>
          </cell>
          <cell r="J12">
            <v>198</v>
          </cell>
          <cell r="K12">
            <v>44</v>
          </cell>
          <cell r="L12">
            <v>30</v>
          </cell>
          <cell r="M12">
            <v>10</v>
          </cell>
          <cell r="N12">
            <v>63</v>
          </cell>
          <cell r="P12" t="str">
            <v>Staffing Levels - Permanent</v>
          </cell>
          <cell r="Q12" t="str">
            <v>L</v>
          </cell>
          <cell r="R12">
            <v>1525</v>
          </cell>
          <cell r="S12">
            <v>1493</v>
          </cell>
          <cell r="T12" t="str">
            <v>-</v>
          </cell>
          <cell r="U12">
            <v>1586</v>
          </cell>
          <cell r="V12">
            <v>485</v>
          </cell>
          <cell r="W12">
            <v>535</v>
          </cell>
          <cell r="X12">
            <v>221</v>
          </cell>
          <cell r="Y12">
            <v>198</v>
          </cell>
          <cell r="Z12">
            <v>44</v>
          </cell>
          <cell r="AA12">
            <v>30</v>
          </cell>
          <cell r="AB12">
            <v>10</v>
          </cell>
          <cell r="AC12">
            <v>63</v>
          </cell>
        </row>
        <row r="13">
          <cell r="A13" t="str">
            <v>Employee Technical Trng - BU</v>
          </cell>
          <cell r="B13" t="str">
            <v>H</v>
          </cell>
          <cell r="C13" t="str">
            <v>Qtrly</v>
          </cell>
          <cell r="D13">
            <v>1</v>
          </cell>
          <cell r="E13" t="str">
            <v>é</v>
          </cell>
          <cell r="F13" t="str">
            <v>Qtrly</v>
          </cell>
          <cell r="G13">
            <v>0.20799999999999999</v>
          </cell>
          <cell r="H13">
            <v>5.8999999999999997E-2</v>
          </cell>
          <cell r="I13">
            <v>0.16500000000000001</v>
          </cell>
          <cell r="J13">
            <v>8.6999999999999994E-2</v>
          </cell>
          <cell r="K13">
            <v>5.0000000000000001E-3</v>
          </cell>
          <cell r="L13">
            <v>3.2000000000000001E-2</v>
          </cell>
          <cell r="M13">
            <v>0</v>
          </cell>
          <cell r="N13">
            <v>3.5999999999999997E-2</v>
          </cell>
          <cell r="P13" t="str">
            <v>Employee Technical Trng - BU</v>
          </cell>
          <cell r="Q13" t="str">
            <v>H</v>
          </cell>
          <cell r="R13" t="str">
            <v>Qtrly</v>
          </cell>
          <cell r="S13" t="str">
            <v>Qtrly</v>
          </cell>
          <cell r="T13" t="str">
            <v>+</v>
          </cell>
          <cell r="U13" t="str">
            <v>Qtrly</v>
          </cell>
          <cell r="V13">
            <v>0.13900000000000001</v>
          </cell>
          <cell r="W13">
            <v>5.8999999999999997E-2</v>
          </cell>
          <cell r="X13">
            <v>0.13800000000000001</v>
          </cell>
          <cell r="Y13">
            <v>5.8999999999999997E-2</v>
          </cell>
          <cell r="Z13">
            <v>6.0000000000000001E-3</v>
          </cell>
          <cell r="AA13">
            <v>2.8000000000000001E-2</v>
          </cell>
          <cell r="AB13">
            <v>0</v>
          </cell>
          <cell r="AC13">
            <v>8.9999999999999993E-3</v>
          </cell>
        </row>
        <row r="14">
          <cell r="A14" t="str">
            <v>Employee Development -MAST</v>
          </cell>
          <cell r="B14" t="str">
            <v>H</v>
          </cell>
          <cell r="C14" t="str">
            <v>Qtrly</v>
          </cell>
          <cell r="D14">
            <v>0.95</v>
          </cell>
          <cell r="E14" t="str">
            <v>é</v>
          </cell>
          <cell r="F14" t="str">
            <v>Qtrly</v>
          </cell>
          <cell r="P14" t="str">
            <v>Employee Development -MAST</v>
          </cell>
          <cell r="Q14" t="str">
            <v>H</v>
          </cell>
          <cell r="R14" t="str">
            <v>Qtrly</v>
          </cell>
          <cell r="S14" t="str">
            <v>Qtrly</v>
          </cell>
          <cell r="T14" t="str">
            <v>+</v>
          </cell>
          <cell r="U14" t="str">
            <v>Qtrly</v>
          </cell>
        </row>
        <row r="15">
          <cell r="A15" t="str">
            <v>Corporate Culture for Ethics and Compliance</v>
          </cell>
          <cell r="B15" t="str">
            <v>H</v>
          </cell>
          <cell r="C15" t="str">
            <v>Qtrly</v>
          </cell>
          <cell r="D15">
            <v>0.62</v>
          </cell>
          <cell r="E15" t="str">
            <v>é</v>
          </cell>
          <cell r="F15" t="str">
            <v>Qtrly</v>
          </cell>
          <cell r="G15">
            <v>0.99099999999999999</v>
          </cell>
          <cell r="H15">
            <v>0.998</v>
          </cell>
          <cell r="I15">
            <v>0.97299999999999998</v>
          </cell>
          <cell r="J15">
            <v>0.97599999999999998</v>
          </cell>
          <cell r="K15">
            <v>0.98</v>
          </cell>
          <cell r="L15">
            <v>1</v>
          </cell>
          <cell r="M15">
            <v>1</v>
          </cell>
          <cell r="N15">
            <v>0.96199999999999997</v>
          </cell>
          <cell r="P15" t="str">
            <v>Employee Standards of Conduct Results</v>
          </cell>
          <cell r="Q15" t="str">
            <v>H</v>
          </cell>
          <cell r="R15" t="str">
            <v>Qtrly</v>
          </cell>
          <cell r="S15" t="str">
            <v>Qtrly</v>
          </cell>
          <cell r="T15" t="str">
            <v>+</v>
          </cell>
          <cell r="U15" t="str">
            <v>Qtrly</v>
          </cell>
          <cell r="V15">
            <v>0.99099999999999999</v>
          </cell>
          <cell r="W15">
            <v>0.998</v>
          </cell>
          <cell r="X15">
            <v>0.97299999999999998</v>
          </cell>
          <cell r="Y15">
            <v>0.97599999999999998</v>
          </cell>
          <cell r="Z15">
            <v>0.98</v>
          </cell>
          <cell r="AA15">
            <v>1</v>
          </cell>
          <cell r="AB15">
            <v>1</v>
          </cell>
          <cell r="AC15">
            <v>0.96199999999999997</v>
          </cell>
        </row>
        <row r="16">
          <cell r="A16" t="str">
            <v>Employee Technical Trng - BU</v>
          </cell>
          <cell r="B16" t="str">
            <v>H</v>
          </cell>
          <cell r="C16">
            <v>0.51</v>
          </cell>
          <cell r="D16">
            <v>1</v>
          </cell>
          <cell r="E16" t="str">
            <v>é</v>
          </cell>
          <cell r="F16">
            <v>0.65</v>
          </cell>
          <cell r="P16" t="str">
            <v>Employee Technical Trng - BU</v>
          </cell>
          <cell r="Q16" t="str">
            <v>H</v>
          </cell>
          <cell r="R16">
            <v>0.51</v>
          </cell>
          <cell r="S16">
            <v>1</v>
          </cell>
          <cell r="T16" t="str">
            <v>-</v>
          </cell>
          <cell r="U16">
            <v>0.65</v>
          </cell>
        </row>
        <row r="17">
          <cell r="A17" t="str">
            <v>SAFE (reliable)</v>
          </cell>
          <cell r="B17" t="str">
            <v>Customer Operations</v>
          </cell>
          <cell r="D17">
            <v>0.49199999999999999</v>
          </cell>
          <cell r="E17" t="str">
            <v>é</v>
          </cell>
          <cell r="P17" t="str">
            <v>SAFE (reliable)</v>
          </cell>
          <cell r="Q17" t="str">
            <v>Customer Operations</v>
          </cell>
          <cell r="S17">
            <v>0.49199999999999999</v>
          </cell>
          <cell r="T17" t="str">
            <v>-</v>
          </cell>
        </row>
        <row r="18">
          <cell r="A18" t="str">
            <v>SAFE (reliable)</v>
          </cell>
          <cell r="B18" t="str">
            <v>L/H</v>
          </cell>
          <cell r="C18" t="str">
            <v>Feb 08 YTD</v>
          </cell>
          <cell r="D18" t="str">
            <v>2009 Target</v>
          </cell>
          <cell r="E18" t="str">
            <v>YE Forecast</v>
          </cell>
          <cell r="F18" t="str">
            <v>Cust Ops</v>
          </cell>
          <cell r="G18" t="str">
            <v>Cust Cont</v>
          </cell>
          <cell r="H18" t="str">
            <v>Dist Ops</v>
          </cell>
          <cell r="I18" t="str">
            <v>Billing &amp; Rev Ops</v>
          </cell>
          <cell r="J18" t="str">
            <v>Com Rel &amp; CSC</v>
          </cell>
          <cell r="K18" t="str">
            <v>LCS &amp; AD</v>
          </cell>
          <cell r="L18" t="str">
            <v>UM</v>
          </cell>
          <cell r="M18" t="str">
            <v>RPA</v>
          </cell>
          <cell r="N18" t="str">
            <v>VP &amp; Support</v>
          </cell>
          <cell r="P18" t="str">
            <v>SAFE (reliable)</v>
          </cell>
          <cell r="Q18" t="str">
            <v>L/H</v>
          </cell>
          <cell r="R18" t="str">
            <v xml:space="preserve">Feb 08 </v>
          </cell>
          <cell r="S18" t="str">
            <v>Feb 09 Target</v>
          </cell>
          <cell r="T18" t="str">
            <v>Monthly / Quarterly Status</v>
          </cell>
          <cell r="U18" t="str">
            <v>Cust Ops</v>
          </cell>
          <cell r="V18" t="str">
            <v>Cust Cont</v>
          </cell>
          <cell r="W18" t="str">
            <v>Dist Ops</v>
          </cell>
          <cell r="X18" t="str">
            <v>Billing &amp; Rev Ops</v>
          </cell>
          <cell r="Y18" t="str">
            <v>Com Rel &amp; CSC</v>
          </cell>
          <cell r="Z18" t="str">
            <v>LCS &amp; AD</v>
          </cell>
          <cell r="AA18" t="str">
            <v>UM</v>
          </cell>
          <cell r="AB18" t="str">
            <v>RPA</v>
          </cell>
          <cell r="AC18" t="str">
            <v>VP &amp; Support</v>
          </cell>
        </row>
      </sheetData>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s>
    <sheetDataSet>
      <sheetData sheetId="0" refreshError="1">
        <row r="8">
          <cell r="A8" t="str">
            <v>OSHA Recordable Incidence Rate</v>
          </cell>
          <cell r="B8" t="str">
            <v>L</v>
          </cell>
          <cell r="C8">
            <v>1.7597365674358549</v>
          </cell>
          <cell r="D8">
            <v>1.39</v>
          </cell>
          <cell r="E8" t="str">
            <v>é</v>
          </cell>
          <cell r="F8">
            <v>1.9961961373604742</v>
          </cell>
          <cell r="G8">
            <v>3.8676739808679059</v>
          </cell>
          <cell r="H8">
            <v>3.5881519223523926</v>
          </cell>
          <cell r="I8">
            <v>0</v>
          </cell>
          <cell r="J8">
            <v>2.3933035367043014</v>
          </cell>
          <cell r="K8">
            <v>0</v>
          </cell>
          <cell r="L8">
            <v>1.5976993129892954</v>
          </cell>
          <cell r="M8">
            <v>0</v>
          </cell>
          <cell r="N8">
            <v>0</v>
          </cell>
          <cell r="P8" t="str">
            <v>OSHA Recordable Incidence Rate</v>
          </cell>
          <cell r="Q8" t="str">
            <v>L</v>
          </cell>
          <cell r="R8">
            <v>1.387094014920508</v>
          </cell>
          <cell r="S8">
            <v>1.39</v>
          </cell>
          <cell r="T8" t="str">
            <v>+</v>
          </cell>
          <cell r="U8">
            <v>1.8769825628319914</v>
          </cell>
          <cell r="V8">
            <v>8.031698436496038</v>
          </cell>
          <cell r="W8">
            <v>0</v>
          </cell>
          <cell r="X8">
            <v>0</v>
          </cell>
          <cell r="Y8">
            <v>0</v>
          </cell>
          <cell r="Z8">
            <v>0</v>
          </cell>
          <cell r="AA8">
            <v>3.4326513799258547</v>
          </cell>
          <cell r="AB8">
            <v>0</v>
          </cell>
          <cell r="AC8">
            <v>0</v>
          </cell>
        </row>
        <row r="9">
          <cell r="A9" t="str">
            <v>OSHA Days Away Rate (Severity)</v>
          </cell>
          <cell r="B9" t="str">
            <v>L</v>
          </cell>
          <cell r="C9">
            <v>5.2792097023075648</v>
          </cell>
          <cell r="D9">
            <v>6.96</v>
          </cell>
          <cell r="E9" t="str">
            <v>é</v>
          </cell>
          <cell r="F9">
            <v>9.9809806868023703</v>
          </cell>
          <cell r="G9">
            <v>16.759920583760927</v>
          </cell>
          <cell r="H9">
            <v>38.273620505092182</v>
          </cell>
          <cell r="I9">
            <v>0</v>
          </cell>
          <cell r="J9">
            <v>0</v>
          </cell>
          <cell r="K9">
            <v>0</v>
          </cell>
          <cell r="L9">
            <v>0</v>
          </cell>
          <cell r="M9">
            <v>0</v>
          </cell>
          <cell r="N9">
            <v>0</v>
          </cell>
          <cell r="P9" t="str">
            <v>OSHA Days Away Rate (Severity)</v>
          </cell>
          <cell r="Q9" t="str">
            <v>L</v>
          </cell>
          <cell r="R9">
            <v>0.92472934328033862</v>
          </cell>
          <cell r="S9">
            <v>6.96</v>
          </cell>
          <cell r="T9" t="str">
            <v>+</v>
          </cell>
          <cell r="U9">
            <v>19.23907126902791</v>
          </cell>
          <cell r="V9">
            <v>34.804026558149495</v>
          </cell>
          <cell r="W9">
            <v>72.599987035716595</v>
          </cell>
          <cell r="X9">
            <v>0</v>
          </cell>
          <cell r="Y9">
            <v>0</v>
          </cell>
          <cell r="Z9">
            <v>0</v>
          </cell>
          <cell r="AA9">
            <v>0</v>
          </cell>
          <cell r="AB9">
            <v>0</v>
          </cell>
          <cell r="AC9">
            <v>0</v>
          </cell>
        </row>
        <row r="10">
          <cell r="A10" t="str">
            <v>Motor Vehicle Accident Rate</v>
          </cell>
          <cell r="B10" t="str">
            <v>L</v>
          </cell>
          <cell r="C10">
            <v>8.2090465834840405</v>
          </cell>
          <cell r="D10">
            <v>3.88</v>
          </cell>
          <cell r="E10" t="str">
            <v>é</v>
          </cell>
          <cell r="F10">
            <v>5.2058151558198089</v>
          </cell>
          <cell r="G10">
            <v>4.1961328439709966</v>
          </cell>
          <cell r="H10">
            <v>6.3046799639372306</v>
          </cell>
          <cell r="I10">
            <v>11.113580795732386</v>
          </cell>
          <cell r="J10">
            <v>3.0454054728981754</v>
          </cell>
          <cell r="K10">
            <v>0</v>
          </cell>
          <cell r="L10">
            <v>10.237300628570258</v>
          </cell>
          <cell r="M10">
            <v>0</v>
          </cell>
          <cell r="N10">
            <v>6.6074201328091444</v>
          </cell>
          <cell r="P10" t="str">
            <v>Motor Vehicle Accident Rate</v>
          </cell>
          <cell r="Q10" t="str">
            <v>L</v>
          </cell>
          <cell r="R10">
            <v>7.4125302894518956</v>
          </cell>
          <cell r="S10">
            <v>2.7534555867613855</v>
          </cell>
          <cell r="T10" t="str">
            <v>+</v>
          </cell>
          <cell r="U10">
            <v>5.2177973851008401</v>
          </cell>
          <cell r="V10">
            <v>0</v>
          </cell>
          <cell r="W10">
            <v>13.50329480393216</v>
          </cell>
          <cell r="X10">
            <v>7.9927745318232315</v>
          </cell>
          <cell r="Y10">
            <v>6.2524032675059473</v>
          </cell>
          <cell r="Z10">
            <v>0</v>
          </cell>
          <cell r="AA10">
            <v>10.005202705406811</v>
          </cell>
          <cell r="AB10">
            <v>0</v>
          </cell>
          <cell r="AC10">
            <v>0</v>
          </cell>
        </row>
        <row r="11">
          <cell r="A11" t="str">
            <v>Availability - Illness</v>
          </cell>
          <cell r="B11" t="str">
            <v>H</v>
          </cell>
          <cell r="C11">
            <v>0.96038512416568389</v>
          </cell>
          <cell r="D11">
            <v>0.97299999999999998</v>
          </cell>
          <cell r="E11" t="str">
            <v>é</v>
          </cell>
          <cell r="F11">
            <v>0.96104863526953177</v>
          </cell>
          <cell r="G11">
            <v>0.95759459024311711</v>
          </cell>
          <cell r="H11">
            <v>0.95925367627539759</v>
          </cell>
          <cell r="I11">
            <v>0.95618595694931574</v>
          </cell>
          <cell r="J11">
            <v>0.95912425560546055</v>
          </cell>
          <cell r="K11">
            <v>0.98849273721939257</v>
          </cell>
          <cell r="L11">
            <v>0.96478457546287644</v>
          </cell>
          <cell r="M11">
            <v>0.97386384376711077</v>
          </cell>
          <cell r="N11">
            <v>0.96172311631609619</v>
          </cell>
          <cell r="P11" t="str">
            <v>Availability - Illness</v>
          </cell>
          <cell r="Q11" t="str">
            <v>H</v>
          </cell>
          <cell r="R11">
            <v>0.95862018252789827</v>
          </cell>
          <cell r="S11">
            <v>0.97299999999999998</v>
          </cell>
          <cell r="T11" t="str">
            <v>+</v>
          </cell>
          <cell r="U11">
            <v>0.95992020081240836</v>
          </cell>
          <cell r="V11">
            <v>0.95850392155535857</v>
          </cell>
          <cell r="W11">
            <v>0.95665427004262404</v>
          </cell>
          <cell r="X11">
            <v>0.95738858483189992</v>
          </cell>
          <cell r="Y11">
            <v>0.95821434331154087</v>
          </cell>
          <cell r="Z11">
            <v>0.99512099921935993</v>
          </cell>
          <cell r="AA11">
            <v>0.96008455283554417</v>
          </cell>
          <cell r="AB11">
            <v>0.97048082775410838</v>
          </cell>
          <cell r="AC11">
            <v>0.95987557233231968</v>
          </cell>
        </row>
        <row r="12">
          <cell r="A12" t="str">
            <v>Staffing Levels - Permanent</v>
          </cell>
          <cell r="B12" t="str">
            <v>L</v>
          </cell>
          <cell r="C12">
            <v>2523</v>
          </cell>
          <cell r="D12">
            <v>2702</v>
          </cell>
          <cell r="E12" t="str">
            <v>é</v>
          </cell>
          <cell r="F12">
            <v>2659</v>
          </cell>
          <cell r="G12">
            <v>463</v>
          </cell>
          <cell r="H12">
            <v>444</v>
          </cell>
          <cell r="I12">
            <v>432</v>
          </cell>
          <cell r="J12">
            <v>505</v>
          </cell>
          <cell r="K12">
            <v>64</v>
          </cell>
          <cell r="L12">
            <v>403</v>
          </cell>
          <cell r="M12">
            <v>167</v>
          </cell>
          <cell r="N12">
            <v>181</v>
          </cell>
          <cell r="P12" t="str">
            <v>Staffing Levels - Permanent</v>
          </cell>
          <cell r="Q12" t="str">
            <v>L</v>
          </cell>
          <cell r="R12">
            <v>2523</v>
          </cell>
          <cell r="S12">
            <v>2702</v>
          </cell>
          <cell r="T12" t="str">
            <v>+</v>
          </cell>
          <cell r="U12">
            <v>2659</v>
          </cell>
          <cell r="V12">
            <v>463</v>
          </cell>
          <cell r="W12">
            <v>444</v>
          </cell>
          <cell r="X12">
            <v>432</v>
          </cell>
          <cell r="Y12">
            <v>505</v>
          </cell>
          <cell r="Z12">
            <v>64</v>
          </cell>
          <cell r="AA12">
            <v>403</v>
          </cell>
          <cell r="AB12">
            <v>167</v>
          </cell>
          <cell r="AC12">
            <v>181</v>
          </cell>
        </row>
        <row r="13">
          <cell r="A13" t="str">
            <v>Corporate Culture for Ethics and Compliance</v>
          </cell>
          <cell r="B13" t="str">
            <v>H</v>
          </cell>
          <cell r="C13" t="str">
            <v>Annual</v>
          </cell>
          <cell r="D13">
            <v>0.72</v>
          </cell>
          <cell r="E13" t="str">
            <v>é</v>
          </cell>
          <cell r="F13">
            <v>2716</v>
          </cell>
          <cell r="G13">
            <v>463</v>
          </cell>
          <cell r="H13">
            <v>441</v>
          </cell>
          <cell r="I13">
            <v>441</v>
          </cell>
          <cell r="J13">
            <v>506</v>
          </cell>
          <cell r="K13">
            <v>68</v>
          </cell>
          <cell r="L13">
            <v>401</v>
          </cell>
          <cell r="M13">
            <v>210</v>
          </cell>
          <cell r="N13">
            <v>186</v>
          </cell>
          <cell r="P13" t="str">
            <v>Corporate Culture for Ethics and Compliance</v>
          </cell>
          <cell r="Q13" t="str">
            <v>H</v>
          </cell>
          <cell r="R13">
            <v>2658</v>
          </cell>
          <cell r="S13">
            <v>0.72</v>
          </cell>
          <cell r="T13" t="str">
            <v>+</v>
          </cell>
          <cell r="U13">
            <v>2716</v>
          </cell>
          <cell r="V13">
            <v>463</v>
          </cell>
          <cell r="W13">
            <v>441</v>
          </cell>
          <cell r="X13">
            <v>441</v>
          </cell>
          <cell r="Y13">
            <v>506</v>
          </cell>
          <cell r="Z13">
            <v>68</v>
          </cell>
          <cell r="AA13">
            <v>401</v>
          </cell>
          <cell r="AB13">
            <v>210</v>
          </cell>
          <cell r="AC13">
            <v>186</v>
          </cell>
        </row>
        <row r="14">
          <cell r="A14" t="str">
            <v>Employee Development - MAST</v>
          </cell>
          <cell r="B14" t="str">
            <v>H</v>
          </cell>
          <cell r="C14" t="str">
            <v>Qtrly</v>
          </cell>
          <cell r="D14">
            <v>0.95</v>
          </cell>
          <cell r="E14" t="str">
            <v>é</v>
          </cell>
          <cell r="F14">
            <v>0.13450742450943215</v>
          </cell>
          <cell r="G14">
            <v>0.23405972558514931</v>
          </cell>
          <cell r="H14">
            <v>0.13882352941176471</v>
          </cell>
          <cell r="I14">
            <v>0.11278195488721804</v>
          </cell>
          <cell r="J14">
            <v>7.4626865671641784E-2</v>
          </cell>
          <cell r="K14">
            <v>0.16333938294010888</v>
          </cell>
          <cell r="L14">
            <v>9.7402597402597407E-2</v>
          </cell>
          <cell r="M14">
            <v>2.7777777777777776E-2</v>
          </cell>
          <cell r="N14">
            <v>0.21900505246793625</v>
          </cell>
          <cell r="P14" t="str">
            <v>Employee Development - MAST</v>
          </cell>
          <cell r="Q14" t="str">
            <v>H</v>
          </cell>
          <cell r="R14">
            <v>0.59</v>
          </cell>
          <cell r="S14">
            <v>0.23749999999999999</v>
          </cell>
          <cell r="T14" t="str">
            <v>+</v>
          </cell>
          <cell r="U14">
            <v>0.14895863540713972</v>
          </cell>
          <cell r="V14">
            <v>0.26526768899650255</v>
          </cell>
          <cell r="W14">
            <v>0.13882352941176471</v>
          </cell>
          <cell r="X14">
            <v>0.12030075187969924</v>
          </cell>
          <cell r="Y14">
            <v>7.4626865671641784E-2</v>
          </cell>
          <cell r="Z14">
            <v>0.16333938294010888</v>
          </cell>
          <cell r="AA14">
            <v>0.12337662337662338</v>
          </cell>
          <cell r="AB14">
            <v>2.7777777777777776E-2</v>
          </cell>
          <cell r="AC14">
            <v>0.24246987951807228</v>
          </cell>
        </row>
        <row r="15">
          <cell r="A15" t="str">
            <v>Employee Technical Trng - BU</v>
          </cell>
          <cell r="B15" t="str">
            <v>H</v>
          </cell>
          <cell r="C15" t="str">
            <v>Qtrly</v>
          </cell>
          <cell r="D15">
            <v>1</v>
          </cell>
          <cell r="E15" t="str">
            <v>é</v>
          </cell>
          <cell r="F15">
            <v>1.0077488256313487E-2</v>
          </cell>
          <cell r="G15">
            <v>2.0404377666481174E-3</v>
          </cell>
          <cell r="H15">
            <v>7.7339520494972935E-4</v>
          </cell>
          <cell r="I15">
            <v>7.7339520494972931E-3</v>
          </cell>
          <cell r="J15">
            <v>3.2992411745298581E-4</v>
          </cell>
          <cell r="K15">
            <v>2.9850746268656717E-3</v>
          </cell>
          <cell r="L15">
            <v>2.3809523809523808E-2</v>
          </cell>
          <cell r="M15">
            <v>0.25500910746812389</v>
          </cell>
          <cell r="N15">
            <v>0.98351449275362335</v>
          </cell>
          <cell r="P15" t="str">
            <v>Employee Technical Trng - BU</v>
          </cell>
          <cell r="Q15" t="str">
            <v>H</v>
          </cell>
          <cell r="S15">
            <v>0.25</v>
          </cell>
          <cell r="T15" t="str">
            <v>+</v>
          </cell>
          <cell r="U15">
            <v>0.32260007226884008</v>
          </cell>
          <cell r="V15">
            <v>0.3583750695603784</v>
          </cell>
          <cell r="W15">
            <v>0.32385924207269917</v>
          </cell>
          <cell r="X15">
            <v>0.20533642691415313</v>
          </cell>
          <cell r="Y15">
            <v>0.31788188716595184</v>
          </cell>
          <cell r="Z15">
            <v>0.10746268656716418</v>
          </cell>
          <cell r="AA15">
            <v>0.39622641509433965</v>
          </cell>
          <cell r="AB15">
            <v>0.94899817850637525</v>
          </cell>
        </row>
        <row r="16">
          <cell r="A16" t="str">
            <v>Hours To Work</v>
          </cell>
          <cell r="B16" t="str">
            <v>L</v>
          </cell>
          <cell r="C16">
            <v>1.0906035757494288</v>
          </cell>
          <cell r="D16" t="str">
            <v>NT</v>
          </cell>
          <cell r="E16" t="str">
            <v>é</v>
          </cell>
          <cell r="F16">
            <v>0.10290511975177491</v>
          </cell>
          <cell r="G16">
            <v>5.2625478292472036E-2</v>
          </cell>
          <cell r="H16">
            <v>0.11851284831522409</v>
          </cell>
          <cell r="I16">
            <v>0.18347440561121323</v>
          </cell>
          <cell r="J16">
            <v>7.1977874578675258E-2</v>
          </cell>
          <cell r="K16">
            <v>6.3576404525149247E-2</v>
          </cell>
          <cell r="L16">
            <v>0.98918918918918919</v>
          </cell>
          <cell r="M16">
            <v>1.7513661202185793</v>
          </cell>
          <cell r="P16" t="str">
            <v>Hours To Work</v>
          </cell>
          <cell r="Q16" t="str">
            <v>L</v>
          </cell>
          <cell r="T16" t="str">
            <v>+</v>
          </cell>
        </row>
        <row r="17">
          <cell r="A17" t="str">
            <v>Hours To Work</v>
          </cell>
          <cell r="B17" t="str">
            <v>L</v>
          </cell>
          <cell r="D17" t="str">
            <v>NT</v>
          </cell>
          <cell r="E17" t="str">
            <v>é</v>
          </cell>
          <cell r="F17">
            <v>3.1738001122913341E-2</v>
          </cell>
          <cell r="G17">
            <v>4.5582044243263752E-2</v>
          </cell>
          <cell r="H17">
            <v>3.2179458127554302E-2</v>
          </cell>
          <cell r="I17">
            <v>2.4860323221811777E-2</v>
          </cell>
          <cell r="J17">
            <v>1.6648718272135751E-2</v>
          </cell>
          <cell r="K17">
            <v>0.22059119468537494</v>
          </cell>
          <cell r="P17" t="str">
            <v>Hours To Work</v>
          </cell>
          <cell r="Q17" t="str">
            <v>L</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Gas Delivery"/>
      <sheetName val="Northern Div"/>
      <sheetName val="Central Div"/>
      <sheetName val="Southern Div"/>
      <sheetName val="GSOC M&amp;R"/>
      <sheetName val="DATA INPUT SHT"/>
    </sheetNames>
    <sheetDataSet>
      <sheetData sheetId="0" refreshError="1"/>
      <sheetData sheetId="1" refreshError="1">
        <row r="8">
          <cell r="A8" t="str">
            <v>OSHA Recordable Incidence Rate</v>
          </cell>
          <cell r="B8" t="str">
            <v>L</v>
          </cell>
          <cell r="C8">
            <v>3.11</v>
          </cell>
          <cell r="D8">
            <v>2.09</v>
          </cell>
          <cell r="E8" t="str">
            <v>é</v>
          </cell>
          <cell r="F8">
            <v>2.97</v>
          </cell>
          <cell r="G8">
            <v>1.79</v>
          </cell>
          <cell r="H8">
            <v>7.24</v>
          </cell>
          <cell r="I8">
            <v>1.66</v>
          </cell>
          <cell r="J8">
            <v>0</v>
          </cell>
          <cell r="K8">
            <v>0</v>
          </cell>
          <cell r="M8" t="str">
            <v>OSHA Recordable Incidence Rate</v>
          </cell>
          <cell r="N8" t="str">
            <v>L</v>
          </cell>
          <cell r="O8">
            <v>3.64</v>
          </cell>
          <cell r="P8">
            <v>2.09</v>
          </cell>
          <cell r="Q8" t="str">
            <v>+</v>
          </cell>
          <cell r="R8">
            <v>1.99</v>
          </cell>
          <cell r="S8">
            <v>2.0099999999999998</v>
          </cell>
          <cell r="T8">
            <v>2.71</v>
          </cell>
          <cell r="U8">
            <v>1.83</v>
          </cell>
          <cell r="V8">
            <v>0</v>
          </cell>
          <cell r="W8">
            <v>0</v>
          </cell>
        </row>
        <row r="9">
          <cell r="A9" t="str">
            <v>OSHA Days Away Rate (Severity)</v>
          </cell>
          <cell r="B9" t="str">
            <v>L</v>
          </cell>
          <cell r="C9">
            <v>0</v>
          </cell>
          <cell r="D9">
            <v>9.36</v>
          </cell>
          <cell r="E9" t="str">
            <v>é</v>
          </cell>
          <cell r="F9">
            <v>11.6</v>
          </cell>
          <cell r="G9">
            <v>0</v>
          </cell>
          <cell r="H9">
            <v>47.04</v>
          </cell>
          <cell r="I9">
            <v>0</v>
          </cell>
          <cell r="J9">
            <v>0</v>
          </cell>
          <cell r="K9">
            <v>0</v>
          </cell>
          <cell r="M9" t="str">
            <v>OSHA Days Away Rate (Severity)</v>
          </cell>
          <cell r="N9" t="str">
            <v>L</v>
          </cell>
          <cell r="O9">
            <v>0</v>
          </cell>
          <cell r="P9">
            <v>9.36</v>
          </cell>
          <cell r="Q9" t="str">
            <v>-</v>
          </cell>
          <cell r="R9">
            <v>18.54</v>
          </cell>
          <cell r="S9">
            <v>0</v>
          </cell>
          <cell r="T9">
            <v>75.849999999999994</v>
          </cell>
          <cell r="U9">
            <v>0</v>
          </cell>
          <cell r="V9">
            <v>0</v>
          </cell>
          <cell r="W9">
            <v>0</v>
          </cell>
        </row>
        <row r="10">
          <cell r="A10" t="str">
            <v>Motor Vehicle Accident Rate</v>
          </cell>
          <cell r="B10" t="str">
            <v>L</v>
          </cell>
          <cell r="C10">
            <v>6.34</v>
          </cell>
          <cell r="D10">
            <v>2.98</v>
          </cell>
          <cell r="E10" t="str">
            <v>é</v>
          </cell>
          <cell r="F10">
            <v>2.5299999999999998</v>
          </cell>
          <cell r="G10">
            <v>1.6</v>
          </cell>
          <cell r="H10">
            <v>3.99</v>
          </cell>
          <cell r="I10">
            <v>2.65</v>
          </cell>
          <cell r="J10">
            <v>0</v>
          </cell>
          <cell r="K10">
            <v>0</v>
          </cell>
          <cell r="M10" t="str">
            <v>Motor Vehicle Accident Rate</v>
          </cell>
          <cell r="N10" t="str">
            <v>L</v>
          </cell>
          <cell r="O10">
            <v>7.04</v>
          </cell>
          <cell r="P10">
            <v>2.98</v>
          </cell>
          <cell r="Q10" t="str">
            <v>+</v>
          </cell>
          <cell r="R10">
            <v>1.04</v>
          </cell>
          <cell r="S10">
            <v>3.33</v>
          </cell>
          <cell r="T10">
            <v>0</v>
          </cell>
          <cell r="U10">
            <v>0</v>
          </cell>
          <cell r="V10">
            <v>0</v>
          </cell>
          <cell r="W10">
            <v>0</v>
          </cell>
        </row>
        <row r="11">
          <cell r="A11" t="str">
            <v>Staffing Levels - Permanent</v>
          </cell>
          <cell r="B11" t="str">
            <v>L</v>
          </cell>
          <cell r="C11">
            <v>2009</v>
          </cell>
          <cell r="D11">
            <v>2016</v>
          </cell>
          <cell r="E11" t="str">
            <v>é</v>
          </cell>
          <cell r="F11">
            <v>1988</v>
          </cell>
          <cell r="G11">
            <v>641</v>
          </cell>
          <cell r="H11">
            <v>475</v>
          </cell>
          <cell r="I11">
            <v>728</v>
          </cell>
          <cell r="J11">
            <v>67</v>
          </cell>
          <cell r="K11">
            <v>77</v>
          </cell>
          <cell r="M11" t="str">
            <v>Staffing Levels - Permanent</v>
          </cell>
          <cell r="N11" t="str">
            <v>H</v>
          </cell>
          <cell r="O11">
            <v>2009</v>
          </cell>
          <cell r="P11">
            <v>2016</v>
          </cell>
          <cell r="Q11" t="str">
            <v>+</v>
          </cell>
          <cell r="R11">
            <v>1988</v>
          </cell>
          <cell r="S11">
            <v>641</v>
          </cell>
          <cell r="T11">
            <v>475</v>
          </cell>
          <cell r="U11">
            <v>728</v>
          </cell>
          <cell r="V11">
            <v>67</v>
          </cell>
          <cell r="W11">
            <v>77</v>
          </cell>
        </row>
        <row r="12">
          <cell r="A12" t="str">
            <v>Availability - Illness</v>
          </cell>
          <cell r="B12" t="str">
            <v>H</v>
          </cell>
          <cell r="C12">
            <v>0.96599999999999997</v>
          </cell>
          <cell r="D12">
            <v>0.97299999999999998</v>
          </cell>
          <cell r="E12" t="str">
            <v>é</v>
          </cell>
          <cell r="F12">
            <v>0.96299999999999997</v>
          </cell>
          <cell r="G12">
            <v>0.97099100041519448</v>
          </cell>
          <cell r="H12">
            <v>0.95393422499614888</v>
          </cell>
          <cell r="I12">
            <v>0.96199999999999997</v>
          </cell>
          <cell r="J12">
            <v>0.95099999999999996</v>
          </cell>
          <cell r="K12">
            <v>0.98</v>
          </cell>
          <cell r="M12" t="str">
            <v>Availability - Illness</v>
          </cell>
          <cell r="N12" t="str">
            <v>L</v>
          </cell>
          <cell r="O12">
            <v>0.96199999999999997</v>
          </cell>
          <cell r="P12">
            <v>0.97299999999999998</v>
          </cell>
          <cell r="Q12" t="str">
            <v>-</v>
          </cell>
          <cell r="R12">
            <v>0.96399999999999997</v>
          </cell>
          <cell r="S12">
            <v>0.97083816408647616</v>
          </cell>
          <cell r="T12">
            <v>0.95366276042574727</v>
          </cell>
          <cell r="U12">
            <v>0.96199999999999997</v>
          </cell>
          <cell r="V12">
            <v>0.95299999999999996</v>
          </cell>
          <cell r="W12">
            <v>0.98599999999999999</v>
          </cell>
        </row>
        <row r="13">
          <cell r="A13" t="str">
            <v>Corporate Culture for Ethics &amp; Compliance</v>
          </cell>
          <cell r="B13" t="str">
            <v>H</v>
          </cell>
          <cell r="C13" t="str">
            <v>N/A</v>
          </cell>
          <cell r="D13">
            <v>0.68</v>
          </cell>
          <cell r="E13" t="str">
            <v>é</v>
          </cell>
          <cell r="F13" t="str">
            <v>Qtrly</v>
          </cell>
          <cell r="G13" t="str">
            <v>Qtrly</v>
          </cell>
          <cell r="H13" t="str">
            <v>Qtrly</v>
          </cell>
          <cell r="I13" t="str">
            <v>Qtrly</v>
          </cell>
          <cell r="J13" t="str">
            <v>Qtrly</v>
          </cell>
          <cell r="K13" t="str">
            <v>Qtrly</v>
          </cell>
          <cell r="M13" t="str">
            <v>Corporate Culture for Ethics &amp; Compliance</v>
          </cell>
          <cell r="N13" t="str">
            <v>H</v>
          </cell>
          <cell r="O13" t="str">
            <v>N/A</v>
          </cell>
          <cell r="P13">
            <v>0.7</v>
          </cell>
          <cell r="Q13" t="str">
            <v>+</v>
          </cell>
          <cell r="R13" t="str">
            <v>Qtrly</v>
          </cell>
          <cell r="S13" t="str">
            <v>Qtrly</v>
          </cell>
          <cell r="T13" t="str">
            <v>Qtrly</v>
          </cell>
          <cell r="U13" t="str">
            <v>Qtrly</v>
          </cell>
          <cell r="V13" t="str">
            <v>Qtrly</v>
          </cell>
          <cell r="W13" t="str">
            <v>Qtrly</v>
          </cell>
        </row>
        <row r="14">
          <cell r="A14" t="str">
            <v>Employee Development -MAST</v>
          </cell>
          <cell r="B14" t="str">
            <v>H</v>
          </cell>
          <cell r="C14" t="str">
            <v>Qtrly</v>
          </cell>
          <cell r="D14">
            <v>0.95</v>
          </cell>
          <cell r="E14" t="str">
            <v>é</v>
          </cell>
          <cell r="F14" t="str">
            <v>Qtrly</v>
          </cell>
          <cell r="G14" t="str">
            <v>Qtrly</v>
          </cell>
          <cell r="H14" t="str">
            <v>Qtrly</v>
          </cell>
          <cell r="I14" t="str">
            <v>Qtrly</v>
          </cell>
          <cell r="J14" t="str">
            <v>Qtrly</v>
          </cell>
          <cell r="K14" t="str">
            <v>Qtrly</v>
          </cell>
          <cell r="M14" t="str">
            <v>Employee Development -MAST</v>
          </cell>
          <cell r="N14" t="str">
            <v>H</v>
          </cell>
          <cell r="O14" t="str">
            <v>Qtrly</v>
          </cell>
          <cell r="P14">
            <v>0.95</v>
          </cell>
          <cell r="Q14" t="str">
            <v>+</v>
          </cell>
          <cell r="R14" t="str">
            <v>Qtrly</v>
          </cell>
          <cell r="S14" t="str">
            <v>Qtrly</v>
          </cell>
          <cell r="T14" t="str">
            <v>Qtrly</v>
          </cell>
          <cell r="U14" t="str">
            <v>Qtrly</v>
          </cell>
          <cell r="V14" t="str">
            <v>Qtrly</v>
          </cell>
          <cell r="W14" t="str">
            <v>Qtrly</v>
          </cell>
        </row>
        <row r="15">
          <cell r="A15" t="str">
            <v>Employee Technical Trng - BU</v>
          </cell>
          <cell r="B15" t="str">
            <v>H</v>
          </cell>
          <cell r="C15" t="str">
            <v>Qtrly</v>
          </cell>
          <cell r="D15">
            <v>1</v>
          </cell>
          <cell r="E15" t="str">
            <v>é</v>
          </cell>
          <cell r="F15" t="str">
            <v>Qtrly</v>
          </cell>
          <cell r="G15" t="str">
            <v>Qtrly</v>
          </cell>
          <cell r="H15" t="str">
            <v>Qtrly</v>
          </cell>
          <cell r="I15" t="str">
            <v>Qtrly</v>
          </cell>
          <cell r="J15" t="str">
            <v>Qtrly</v>
          </cell>
          <cell r="M15" t="str">
            <v>Employee Technical Trng - BU</v>
          </cell>
          <cell r="N15" t="str">
            <v>H</v>
          </cell>
          <cell r="O15" t="str">
            <v>Qtrly</v>
          </cell>
          <cell r="P15">
            <v>1</v>
          </cell>
          <cell r="R15" t="str">
            <v>Qtrly</v>
          </cell>
          <cell r="S15" t="str">
            <v>Qtrly</v>
          </cell>
          <cell r="T15" t="str">
            <v>Qtrly</v>
          </cell>
          <cell r="U15" t="str">
            <v>Qtrly</v>
          </cell>
          <cell r="V15" t="str">
            <v>Qtrly</v>
          </cell>
        </row>
      </sheetData>
      <sheetData sheetId="2" refreshError="1"/>
      <sheetData sheetId="3" refreshError="1"/>
      <sheetData sheetId="4" refreshError="1"/>
      <sheetData sheetId="5" refreshError="1"/>
      <sheetData sheetId="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Availability_Month"/>
      <sheetName val="OT_Month"/>
      <sheetName val="StaffLvlPerm_Month"/>
      <sheetName val="MastDev_Month"/>
      <sheetName val="SuccessionPlan"/>
      <sheetName val="CultureEthics"/>
      <sheetName val="TrainingBU"/>
      <sheetName val="FringeRate"/>
      <sheetName val="Data_OSHA"/>
      <sheetName val="Data_OSHASeverity"/>
      <sheetName val="Data_MVARate"/>
      <sheetName val="Data_Availability"/>
      <sheetName val="Data_OT"/>
      <sheetName val="Data_StaffLvlPerm"/>
      <sheetName val="Data_MastDev"/>
      <sheetName val="Data_SuccessionPlan"/>
      <sheetName val="Data_CultureEthics"/>
      <sheetName val="Data_TrainingBU"/>
      <sheetName val="Data_FringeRate"/>
      <sheetName val="OSHA_Qtr_YTD"/>
      <sheetName val="OSHASeverity_Qtr_YTD"/>
      <sheetName val="MVARate_Qtr_YTD"/>
      <sheetName val="Availability_Qtr_YTD"/>
      <sheetName val="OT_Qtr_YTD"/>
      <sheetName val="StaffLvlPerm_Qtr_YTD"/>
      <sheetName val="MastDev_Qtr_YTD"/>
      <sheetName val="SuccessionPlan_Qtr_YTD"/>
      <sheetName val="CultureEthics_Qtr_YTD"/>
      <sheetName val="TrainingBU_Qtr_YTD"/>
      <sheetName val="FringeRate_Qtr_YTD"/>
      <sheetName val="People_Metrics_Master"/>
    </sheetNames>
    <sheetDataSet>
      <sheetData sheetId="0" refreshError="1">
        <row r="8">
          <cell r="A8" t="str">
            <v>OSHA Recordable Incidence Rate</v>
          </cell>
          <cell r="B8" t="str">
            <v>L</v>
          </cell>
          <cell r="C8">
            <v>2.02</v>
          </cell>
          <cell r="D8">
            <v>1.8</v>
          </cell>
          <cell r="E8" t="str">
            <v>é</v>
          </cell>
          <cell r="F8">
            <v>1.75</v>
          </cell>
          <cell r="G8">
            <v>1.21</v>
          </cell>
          <cell r="H8">
            <v>2.2000000000000002</v>
          </cell>
          <cell r="I8">
            <v>1.7716194643412808</v>
          </cell>
          <cell r="J8">
            <v>0</v>
          </cell>
          <cell r="L8" t="str">
            <v>OSHA Recordable Incidence Rate</v>
          </cell>
          <cell r="M8" t="str">
            <v>L</v>
          </cell>
          <cell r="N8">
            <v>1.4372491871842543</v>
          </cell>
          <cell r="O8">
            <v>1.8</v>
          </cell>
          <cell r="P8" t="str">
            <v>+</v>
          </cell>
          <cell r="Q8">
            <v>1.33</v>
          </cell>
          <cell r="R8">
            <v>0.79</v>
          </cell>
          <cell r="S8">
            <v>2.2400000000000002</v>
          </cell>
          <cell r="T8">
            <v>0.92271234523374668</v>
          </cell>
          <cell r="U8">
            <v>0</v>
          </cell>
          <cell r="V8" t="str">
            <v>M</v>
          </cell>
        </row>
        <row r="9">
          <cell r="A9" t="str">
            <v>OSHA Days Away Rate (Severity)</v>
          </cell>
          <cell r="B9" t="str">
            <v>L</v>
          </cell>
          <cell r="C9">
            <v>9.18</v>
          </cell>
          <cell r="D9">
            <v>7.94</v>
          </cell>
          <cell r="E9" t="str">
            <v>ê</v>
          </cell>
          <cell r="F9">
            <v>17.48</v>
          </cell>
          <cell r="G9">
            <v>20.25</v>
          </cell>
          <cell r="H9">
            <v>13.3</v>
          </cell>
          <cell r="I9">
            <v>19.487814107754087</v>
          </cell>
          <cell r="J9">
            <v>0</v>
          </cell>
          <cell r="L9" t="str">
            <v>OSHA Days Away Rate (Severity)</v>
          </cell>
          <cell r="M9" t="str">
            <v>L</v>
          </cell>
          <cell r="N9">
            <v>13.67</v>
          </cell>
          <cell r="O9">
            <v>7.94</v>
          </cell>
          <cell r="P9" t="str">
            <v>-</v>
          </cell>
          <cell r="Q9">
            <v>13.67</v>
          </cell>
          <cell r="R9">
            <v>11.84</v>
          </cell>
          <cell r="S9">
            <v>3.36</v>
          </cell>
          <cell r="T9">
            <v>23.529164803460542</v>
          </cell>
          <cell r="U9">
            <v>0</v>
          </cell>
          <cell r="V9" t="str">
            <v>M</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M</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M</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J12">
            <v>0</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V12" t="str">
            <v>M</v>
          </cell>
        </row>
        <row r="13">
          <cell r="A13" t="str">
            <v>Staffing Levels - Permanent</v>
          </cell>
          <cell r="B13" t="str">
            <v>L</v>
          </cell>
          <cell r="C13">
            <v>6318</v>
          </cell>
          <cell r="D13">
            <v>6502</v>
          </cell>
          <cell r="E13" t="str">
            <v>é</v>
          </cell>
          <cell r="F13">
            <v>6352</v>
          </cell>
          <cell r="G13">
            <v>1511</v>
          </cell>
          <cell r="H13">
            <v>2055</v>
          </cell>
          <cell r="I13">
            <v>2722</v>
          </cell>
          <cell r="J13">
            <v>64</v>
          </cell>
          <cell r="L13" t="str">
            <v>Staffing Levels - Permanent</v>
          </cell>
          <cell r="M13" t="str">
            <v>L</v>
          </cell>
          <cell r="O13" t="str">
            <v xml:space="preserve"> </v>
          </cell>
          <cell r="P13" t="str">
            <v xml:space="preserve"> </v>
          </cell>
          <cell r="V13" t="str">
            <v>M</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L14" t="str">
            <v>Employee Development - MAST</v>
          </cell>
          <cell r="M14" t="str">
            <v>H</v>
          </cell>
          <cell r="N14">
            <v>0</v>
          </cell>
          <cell r="O14" t="str">
            <v xml:space="preserve"> </v>
          </cell>
          <cell r="P14" t="str">
            <v>+</v>
          </cell>
          <cell r="Q14">
            <v>0</v>
          </cell>
          <cell r="R14">
            <v>0.78</v>
          </cell>
          <cell r="S14">
            <v>0</v>
          </cell>
          <cell r="T14">
            <v>0.7411271062271062</v>
          </cell>
          <cell r="U14">
            <v>0.05</v>
          </cell>
          <cell r="V14" t="str">
            <v>Q</v>
          </cell>
        </row>
        <row r="15">
          <cell r="A15" t="str">
            <v>Succession Planning</v>
          </cell>
          <cell r="B15" t="str">
            <v>H</v>
          </cell>
          <cell r="C15">
            <v>0.64615384615384619</v>
          </cell>
          <cell r="D15">
            <v>0.73799999999999999</v>
          </cell>
          <cell r="E15" t="str">
            <v>é</v>
          </cell>
          <cell r="F15">
            <v>0.73015873015873012</v>
          </cell>
          <cell r="L15" t="str">
            <v>Succession Planning</v>
          </cell>
          <cell r="M15" t="str">
            <v>H</v>
          </cell>
          <cell r="P15" t="str">
            <v>-</v>
          </cell>
          <cell r="Q15">
            <v>0.73807692307692307</v>
          </cell>
          <cell r="V15" t="str">
            <v>Q</v>
          </cell>
        </row>
        <row r="16">
          <cell r="A16" t="str">
            <v>Corporate Culture for Ethics and Compliance</v>
          </cell>
          <cell r="B16" t="str">
            <v>H</v>
          </cell>
          <cell r="D16">
            <v>0.66</v>
          </cell>
          <cell r="E16" t="str">
            <v>çè</v>
          </cell>
          <cell r="F16" t="str">
            <v>Annual</v>
          </cell>
          <cell r="G16" t="str">
            <v>Annual</v>
          </cell>
          <cell r="L16" t="str">
            <v>Corporate Culture for Ethics and Compliance</v>
          </cell>
          <cell r="M16" t="str">
            <v>H</v>
          </cell>
          <cell r="P16" t="str">
            <v>+</v>
          </cell>
          <cell r="Q16" t="str">
            <v>Annual</v>
          </cell>
          <cell r="V16" t="str">
            <v>Q</v>
          </cell>
        </row>
        <row r="17">
          <cell r="A17" t="str">
            <v>Employee Technical Training - BU</v>
          </cell>
          <cell r="B17" t="str">
            <v>H</v>
          </cell>
          <cell r="C17">
            <v>0.64300000000000002</v>
          </cell>
          <cell r="D17">
            <v>1</v>
          </cell>
          <cell r="E17" t="str">
            <v>é</v>
          </cell>
          <cell r="F17">
            <v>0.7833939799591938</v>
          </cell>
          <cell r="G17">
            <v>1.02</v>
          </cell>
          <cell r="H17">
            <v>0.96409999999999996</v>
          </cell>
          <cell r="I17">
            <v>0.82999940992506049</v>
          </cell>
          <cell r="L17" t="str">
            <v>Employee Technical Training - BU</v>
          </cell>
          <cell r="M17" t="str">
            <v>H</v>
          </cell>
          <cell r="N17">
            <v>0.2</v>
          </cell>
          <cell r="O17" t="str">
            <v xml:space="preserve"> </v>
          </cell>
          <cell r="P17" t="str">
            <v>-</v>
          </cell>
          <cell r="Q17">
            <v>0.7833939799591938</v>
          </cell>
          <cell r="R17" t="str">
            <v>Quarterly</v>
          </cell>
          <cell r="S17">
            <v>0</v>
          </cell>
          <cell r="T17">
            <v>0.31191361302885467</v>
          </cell>
          <cell r="V17" t="str">
            <v>Q</v>
          </cell>
        </row>
        <row r="18">
          <cell r="A18" t="str">
            <v>Fringe Benefit Rate</v>
          </cell>
          <cell r="B18" t="str">
            <v>L</v>
          </cell>
          <cell r="C18">
            <v>0.30941935511527424</v>
          </cell>
          <cell r="D18">
            <v>0.50449999999999995</v>
          </cell>
          <cell r="E18" t="str">
            <v>é</v>
          </cell>
          <cell r="F18">
            <v>0.48480434542471712</v>
          </cell>
          <cell r="L18" t="str">
            <v>Fringe Benefit Rate</v>
          </cell>
          <cell r="M18" t="str">
            <v>L</v>
          </cell>
          <cell r="N18">
            <v>0.30941935511527424</v>
          </cell>
          <cell r="Q18">
            <v>0.48480434542471712</v>
          </cell>
          <cell r="V18" t="str">
            <v>M</v>
          </cell>
        </row>
        <row r="20">
          <cell r="A20" t="str">
            <v>SAFE,  RELIABLE</v>
          </cell>
          <cell r="B20" t="str">
            <v>PSE&amp;G</v>
          </cell>
        </row>
        <row r="21">
          <cell r="B21" t="str">
            <v>L/H</v>
          </cell>
          <cell r="C21" t="str">
            <v>Nov 08 YTD</v>
          </cell>
          <cell r="D21" t="str">
            <v>2009 Target</v>
          </cell>
          <cell r="E21" t="str">
            <v>YE Forecast</v>
          </cell>
          <cell r="F21" t="str">
            <v>PSE&amp;G</v>
          </cell>
          <cell r="G21" t="str">
            <v>Cust Ops</v>
          </cell>
          <cell r="H21" t="str">
            <v>Gas</v>
          </cell>
          <cell r="I21" t="str">
            <v>Electric</v>
          </cell>
          <cell r="J21"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Consolidated"/>
      <sheetName val="790MAINT"/>
      <sheetName val="790DTAIL"/>
      <sheetName val="735DTAIL"/>
      <sheetName val="940DTAIL"/>
      <sheetName val="743DTAIL"/>
      <sheetName val="745DTAIL"/>
      <sheetName val="744DTAIL"/>
      <sheetName val="723DTAIL"/>
      <sheetName val="756DTAIL"/>
      <sheetName val="701DTAIL"/>
      <sheetName val="General Assume"/>
      <sheetName val="SAP-Consolidated"/>
      <sheetName val="Corp. Mdl."/>
      <sheetName val="HWINVEN.XLS"/>
      <sheetName val="SWINVEN.XLS"/>
      <sheetName val="TELCO98.XLS"/>
      <sheetName val="REV98CONS"/>
      <sheetName val="97-98 DELTA"/>
      <sheetName val="Module1"/>
    </sheetNames>
    <sheetDataSet>
      <sheetData sheetId="0" refreshError="1">
        <row r="40">
          <cell r="L40">
            <v>31500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sheetName val="Definitions"/>
      <sheetName val="Initiatives"/>
      <sheetName val="Sheet2"/>
      <sheetName val="Sheet1"/>
    </sheetNames>
    <sheetDataSet>
      <sheetData sheetId="0" refreshError="1">
        <row r="8">
          <cell r="A8" t="str">
            <v>OSHA Recordable Incidence Rate</v>
          </cell>
          <cell r="B8" t="str">
            <v>L</v>
          </cell>
          <cell r="D8" t="str">
            <v>L</v>
          </cell>
          <cell r="E8" t="str">
            <v>é</v>
          </cell>
          <cell r="F8">
            <v>0</v>
          </cell>
          <cell r="G8" t="str">
            <v>é</v>
          </cell>
          <cell r="H8">
            <v>0</v>
          </cell>
          <cell r="I8" t="str">
            <v>L</v>
          </cell>
          <cell r="J8" t="str">
            <v>OSHA Recordable Incidence Rate</v>
          </cell>
          <cell r="K8" t="str">
            <v>L</v>
          </cell>
          <cell r="L8" t="str">
            <v>¡</v>
          </cell>
          <cell r="M8">
            <v>0</v>
          </cell>
        </row>
        <row r="9">
          <cell r="A9" t="str">
            <v>OSHA Days Away Rate (Severity)</v>
          </cell>
          <cell r="B9" t="str">
            <v>L</v>
          </cell>
          <cell r="D9" t="str">
            <v>L</v>
          </cell>
          <cell r="E9" t="str">
            <v>é</v>
          </cell>
          <cell r="F9">
            <v>0</v>
          </cell>
          <cell r="G9" t="str">
            <v>é</v>
          </cell>
          <cell r="H9">
            <v>0</v>
          </cell>
          <cell r="I9" t="str">
            <v>L</v>
          </cell>
          <cell r="J9" t="str">
            <v>OSHA Days Away Rate (Severity)</v>
          </cell>
          <cell r="K9" t="str">
            <v>L</v>
          </cell>
          <cell r="L9" t="str">
            <v>¡</v>
          </cell>
          <cell r="M9">
            <v>0</v>
          </cell>
        </row>
        <row r="10">
          <cell r="A10" t="str">
            <v>Availability - Illness</v>
          </cell>
          <cell r="B10" t="str">
            <v>H</v>
          </cell>
          <cell r="C10" t="str">
            <v>*</v>
          </cell>
          <cell r="D10" t="str">
            <v>H</v>
          </cell>
          <cell r="E10" t="str">
            <v>é</v>
          </cell>
          <cell r="F10">
            <v>0.98399999999999999</v>
          </cell>
          <cell r="G10" t="str">
            <v>é</v>
          </cell>
          <cell r="H10">
            <v>0.99399999999999999</v>
          </cell>
          <cell r="I10" t="str">
            <v>H</v>
          </cell>
          <cell r="J10" t="str">
            <v>Availability - Illness</v>
          </cell>
          <cell r="K10" t="str">
            <v>H</v>
          </cell>
          <cell r="L10" t="str">
            <v>¡</v>
          </cell>
          <cell r="M10">
            <v>0.98399999999999999</v>
          </cell>
        </row>
        <row r="11">
          <cell r="A11" t="str">
            <v xml:space="preserve">Staffing Levels - Total </v>
          </cell>
          <cell r="B11" t="str">
            <v>*</v>
          </cell>
          <cell r="C11" t="str">
            <v>*</v>
          </cell>
          <cell r="D11" t="str">
            <v>L</v>
          </cell>
          <cell r="E11" t="str">
            <v>é</v>
          </cell>
          <cell r="F11">
            <v>17</v>
          </cell>
          <cell r="G11" t="str">
            <v>é</v>
          </cell>
          <cell r="H11">
            <v>17</v>
          </cell>
          <cell r="I11" t="str">
            <v>L</v>
          </cell>
          <cell r="J11" t="str">
            <v xml:space="preserve">Staffing Levels - Total </v>
          </cell>
          <cell r="K11" t="str">
            <v>L</v>
          </cell>
          <cell r="L11" t="str">
            <v>¡</v>
          </cell>
          <cell r="M11">
            <v>17</v>
          </cell>
        </row>
        <row r="12">
          <cell r="A12" t="str">
            <v>Corporate Culture for Ethics and Compliance</v>
          </cell>
          <cell r="B12" t="str">
            <v>*</v>
          </cell>
          <cell r="C12" t="str">
            <v>*</v>
          </cell>
          <cell r="D12" t="str">
            <v>H</v>
          </cell>
          <cell r="E12" t="str">
            <v>é</v>
          </cell>
          <cell r="F12">
            <v>0.7</v>
          </cell>
          <cell r="G12" t="str">
            <v>é</v>
          </cell>
          <cell r="H12" t="str">
            <v>QTRLY</v>
          </cell>
          <cell r="I12" t="str">
            <v>H</v>
          </cell>
          <cell r="J12" t="str">
            <v>Corporate Culture for Ethics and Compliance</v>
          </cell>
          <cell r="K12" t="str">
            <v>H</v>
          </cell>
          <cell r="L12" t="str">
            <v>¡</v>
          </cell>
          <cell r="M12" t="str">
            <v>Qtrly</v>
          </cell>
        </row>
        <row r="13">
          <cell r="A13" t="str">
            <v>Employee Development -MAST</v>
          </cell>
          <cell r="B13" t="str">
            <v>*</v>
          </cell>
          <cell r="C13" t="str">
            <v>*</v>
          </cell>
          <cell r="D13" t="str">
            <v>H</v>
          </cell>
          <cell r="E13" t="str">
            <v>é</v>
          </cell>
          <cell r="F13">
            <v>0.95</v>
          </cell>
          <cell r="G13" t="str">
            <v>é</v>
          </cell>
          <cell r="H13" t="str">
            <v>QTRLY</v>
          </cell>
          <cell r="I13" t="str">
            <v>H</v>
          </cell>
          <cell r="J13" t="str">
            <v>Employee Development -MAST</v>
          </cell>
          <cell r="K13" t="str">
            <v>H</v>
          </cell>
          <cell r="L13" t="str">
            <v>¡</v>
          </cell>
          <cell r="M13" t="str">
            <v>Qtrly</v>
          </cell>
        </row>
        <row r="17">
          <cell r="A17" t="str">
            <v>Solar Loan Program - Approved Capacity (DC MW) (NOT CLOSED)</v>
          </cell>
          <cell r="B17" t="str">
            <v>*</v>
          </cell>
          <cell r="D17" t="str">
            <v xml:space="preserve">H </v>
          </cell>
          <cell r="E17" t="str">
            <v>é</v>
          </cell>
          <cell r="F17">
            <v>19.170000000000002</v>
          </cell>
          <cell r="G17" t="str">
            <v>é</v>
          </cell>
          <cell r="H17">
            <v>9.6930229999999984</v>
          </cell>
          <cell r="I17" t="str">
            <v>L</v>
          </cell>
          <cell r="J17" t="str">
            <v>Solar Loan Program - Approved Capacity (DC MW) (NOT CLOSED)</v>
          </cell>
          <cell r="K17" t="str">
            <v xml:space="preserve">H </v>
          </cell>
          <cell r="L17" t="str">
            <v>+</v>
          </cell>
          <cell r="M17">
            <v>1.1981250000000001</v>
          </cell>
          <cell r="N17" t="str">
            <v>-</v>
          </cell>
          <cell r="O17">
            <v>0.52988000000000002</v>
          </cell>
          <cell r="R17" t="str">
            <v>Reported Monthly</v>
          </cell>
        </row>
        <row r="18">
          <cell r="A18" t="str">
            <v>Solar Loan Prog - Avg Time to Approve</v>
          </cell>
          <cell r="B18" t="str">
            <v>*</v>
          </cell>
          <cell r="D18" t="str">
            <v>L</v>
          </cell>
          <cell r="E18" t="str">
            <v>é</v>
          </cell>
          <cell r="F18">
            <v>56</v>
          </cell>
          <cell r="G18" t="str">
            <v>é</v>
          </cell>
          <cell r="H18">
            <v>63.963963963963963</v>
          </cell>
          <cell r="I18" t="str">
            <v>H</v>
          </cell>
          <cell r="J18" t="str">
            <v>Solar Loan Prog - Avg Time to Approve</v>
          </cell>
          <cell r="K18" t="str">
            <v>L</v>
          </cell>
          <cell r="L18" t="str">
            <v>+</v>
          </cell>
          <cell r="M18">
            <v>56</v>
          </cell>
          <cell r="N18" t="str">
            <v>¡</v>
          </cell>
          <cell r="O18">
            <v>41</v>
          </cell>
          <cell r="R18" t="str">
            <v>Reported Monthly</v>
          </cell>
        </row>
        <row r="19">
          <cell r="A19" t="str">
            <v>Standard Offer Invoice Average Turnaround Time (Days)</v>
          </cell>
          <cell r="B19" t="str">
            <v>*</v>
          </cell>
          <cell r="C19" t="str">
            <v>*</v>
          </cell>
          <cell r="D19" t="str">
            <v>L</v>
          </cell>
          <cell r="E19">
            <v>10.71</v>
          </cell>
          <cell r="F19">
            <v>15</v>
          </cell>
          <cell r="G19" t="str">
            <v>é</v>
          </cell>
          <cell r="H19">
            <v>10.4</v>
          </cell>
          <cell r="I19" t="str">
            <v>H</v>
          </cell>
          <cell r="J19" t="str">
            <v>Standard Offer Invoice Average Turnaround Time (Days)</v>
          </cell>
          <cell r="K19" t="str">
            <v>L</v>
          </cell>
          <cell r="L19">
            <v>12.38</v>
          </cell>
          <cell r="M19">
            <v>15</v>
          </cell>
          <cell r="N19" t="str">
            <v>¡</v>
          </cell>
          <cell r="O19">
            <v>9.82</v>
          </cell>
          <cell r="R19" t="str">
            <v>Reported Monthly</v>
          </cell>
        </row>
        <row r="20">
          <cell r="A20" t="str">
            <v>Comfort Partner Invoices - Payment Approval Time (Days)</v>
          </cell>
          <cell r="B20" t="str">
            <v>*</v>
          </cell>
          <cell r="C20" t="str">
            <v>*</v>
          </cell>
          <cell r="D20" t="str">
            <v>L</v>
          </cell>
          <cell r="E20">
            <v>2</v>
          </cell>
          <cell r="F20">
            <v>5</v>
          </cell>
          <cell r="G20" t="str">
            <v>é</v>
          </cell>
          <cell r="H20">
            <v>3</v>
          </cell>
          <cell r="I20" t="str">
            <v>H</v>
          </cell>
          <cell r="J20" t="str">
            <v>Comfort Partner Invoices - Payment Approval Time (Days)</v>
          </cell>
          <cell r="K20" t="str">
            <v>L</v>
          </cell>
          <cell r="L20">
            <v>1</v>
          </cell>
          <cell r="M20">
            <v>5</v>
          </cell>
          <cell r="N20" t="str">
            <v>¡</v>
          </cell>
          <cell r="O20">
            <v>4</v>
          </cell>
          <cell r="R20" t="str">
            <v>Reported Monthly</v>
          </cell>
        </row>
        <row r="21">
          <cell r="A21" t="str">
            <v xml:space="preserve">Standard Offer Maintenance Audits Completed </v>
          </cell>
          <cell r="B21" t="str">
            <v>*</v>
          </cell>
          <cell r="C21" t="str">
            <v>*</v>
          </cell>
          <cell r="D21" t="str">
            <v xml:space="preserve">H </v>
          </cell>
          <cell r="E21">
            <v>42</v>
          </cell>
          <cell r="F21">
            <v>77</v>
          </cell>
          <cell r="G21" t="str">
            <v>é</v>
          </cell>
          <cell r="H21">
            <v>47</v>
          </cell>
          <cell r="J21" t="str">
            <v xml:space="preserve">Standard Offer Maintenance Audits Completed </v>
          </cell>
          <cell r="K21" t="str">
            <v xml:space="preserve">H </v>
          </cell>
          <cell r="L21">
            <v>14</v>
          </cell>
          <cell r="M21">
            <v>77</v>
          </cell>
          <cell r="N21" t="str">
            <v>¡</v>
          </cell>
          <cell r="O21">
            <v>8</v>
          </cell>
          <cell r="R21" t="str">
            <v>Reported Monthly</v>
          </cell>
        </row>
        <row r="22">
          <cell r="A22" t="str">
            <v xml:space="preserve">Standard Offer Inspections Completed </v>
          </cell>
          <cell r="B22" t="str">
            <v>*</v>
          </cell>
          <cell r="D22" t="str">
            <v xml:space="preserve">H </v>
          </cell>
          <cell r="E22" t="str">
            <v>é</v>
          </cell>
          <cell r="F22">
            <v>308</v>
          </cell>
          <cell r="G22" t="str">
            <v>é</v>
          </cell>
          <cell r="H22">
            <v>158</v>
          </cell>
          <cell r="I22" t="str">
            <v>H</v>
          </cell>
          <cell r="J22" t="str">
            <v xml:space="preserve">Standard Offer Inspections Completed </v>
          </cell>
          <cell r="K22" t="str">
            <v xml:space="preserve">H </v>
          </cell>
          <cell r="L22" t="str">
            <v>+</v>
          </cell>
          <cell r="M22">
            <v>308</v>
          </cell>
          <cell r="N22" t="str">
            <v>¡</v>
          </cell>
          <cell r="O22">
            <v>39</v>
          </cell>
          <cell r="R22" t="str">
            <v>Reported Monthly</v>
          </cell>
        </row>
        <row r="24">
          <cell r="A24" t="str">
            <v>ECONOMIC</v>
          </cell>
          <cell r="H24" t="str">
            <v>ECONOMIC</v>
          </cell>
        </row>
        <row r="25">
          <cell r="B25" t="str">
            <v>MICP A</v>
          </cell>
          <cell r="C25" t="str">
            <v>MICP B</v>
          </cell>
          <cell r="D25" t="str">
            <v>L/H</v>
          </cell>
          <cell r="E25" t="str">
            <v>July 2008  YTD</v>
          </cell>
          <cell r="F25" t="str">
            <v>2009 Target</v>
          </cell>
          <cell r="G25" t="str">
            <v>YE Forecast</v>
          </cell>
          <cell r="H25" t="str">
            <v>July 2009 YTD</v>
          </cell>
          <cell r="I25" t="str">
            <v>L/H</v>
          </cell>
        </row>
      </sheetData>
      <sheetData sheetId="1"/>
      <sheetData sheetId="2"/>
      <sheetData sheetId="3"/>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People Menu"/>
      <sheetName val="Osha Cases"/>
      <sheetName val="Osha Index"/>
      <sheetName val="First Aid Incid"/>
      <sheetName val="Lost Time Rate"/>
      <sheetName val="MVA"/>
      <sheetName val="% Comp LHS"/>
      <sheetName val="% Comp EHS"/>
      <sheetName val="Avail 1-5"/>
      <sheetName val="Avail &gt;5"/>
      <sheetName val="Staffing Levels"/>
      <sheetName val="OT"/>
      <sheetName val="Customer Menu"/>
      <sheetName val="BPU"/>
      <sheetName val="BPU per prem visits STATE"/>
      <sheetName val="MOT"/>
      <sheetName val="NB Inq Resp Rate"/>
      <sheetName val="NB Serv Inst Rate"/>
      <sheetName val="Road Restoration"/>
      <sheetName val="Appt Kept One"/>
      <sheetName val="Net Change Contract"/>
      <sheetName val="Repeat Service State"/>
      <sheetName val="Operations Menu"/>
      <sheetName val="Avg Resp State"/>
      <sheetName val="State % of Non Prem"/>
      <sheetName val="North % of Non Prem"/>
      <sheetName val="Central % of Non Prem"/>
      <sheetName val="South % of Non Prem"/>
      <sheetName val="Dist Level OT Non Prem %"/>
      <sheetName val="Percent Visits CGI_NAP"/>
      <sheetName val="Gas Leaks Mile"/>
      <sheetName val="Open Leaks"/>
      <sheetName val="Completed Leaks"/>
      <sheetName val="Leak Repair Rate"/>
      <sheetName val="CI Breaks Mile"/>
      <sheetName val="Leak State Div Dist"/>
      <sheetName val="Damages 1000 MO"/>
      <sheetName val="PM(PM+CM)"/>
      <sheetName val="% Comp Rptd Progs"/>
      <sheetName val="Sel Assign Match %"/>
      <sheetName val="Damages Billed"/>
      <sheetName val="% Replacement Main"/>
      <sheetName val="# Open 1rst Level"/>
      <sheetName val="# Open 2nd Level"/>
      <sheetName val="New Serv $ Ft"/>
      <sheetName val="Repl Serv $ Ft"/>
      <sheetName val="M&amp;R Station Util"/>
      <sheetName val="Contract Cancellation"/>
      <sheetName val="Street Lea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row r="3">
          <cell r="D3" t="str">
            <v>Q1</v>
          </cell>
        </row>
        <row r="4">
          <cell r="D4" t="str">
            <v>February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_GreenEnergySummary"/>
      <sheetName val="GreenEnergyMenu"/>
      <sheetName val="IndexGreenEnergyMenu"/>
      <sheetName val="Reporting_Period"/>
      <sheetName val="FleetMPG_Month"/>
      <sheetName val="RenewEnergy_Month"/>
      <sheetName val="NonHazardWaste_Month"/>
      <sheetName val="EnergySavings_Month"/>
      <sheetName val="NewSolar"/>
      <sheetName val="PeakDemand"/>
      <sheetName val="HazardousWaste"/>
      <sheetName val="Data_FleetMPG"/>
      <sheetName val="Data_RenewEnergy"/>
      <sheetName val="Data_NonHazardWaste"/>
      <sheetName val="Data_EnergySavings"/>
      <sheetName val="Data_NewSolar"/>
      <sheetName val="Data_PeakDemand"/>
      <sheetName val="Data_HazardousWaste"/>
      <sheetName val="FleetMPG_Qtr_YTD"/>
      <sheetName val="RenewEnergy_Qtr_YTD"/>
      <sheetName val="NonHazardWaste_Qtr_YTD"/>
      <sheetName val="EnergySavings_Qtr_YTD"/>
      <sheetName val="NewSolar_Qtr_YTD"/>
      <sheetName val="PeakDemand_Qtr_YTD"/>
      <sheetName val="HazardousWaste_Qtr_YTD"/>
      <sheetName val="RenewEnergy"/>
      <sheetName val="NonHazardWaste"/>
      <sheetName val="GreenEnergy_Metrics_Master"/>
    </sheetNames>
    <sheetDataSet>
      <sheetData sheetId="0"/>
      <sheetData sheetId="1"/>
      <sheetData sheetId="2"/>
      <sheetData sheetId="3">
        <row r="3">
          <cell r="B3" t="str">
            <v>Q4</v>
          </cell>
        </row>
        <row r="4">
          <cell r="B4" t="str">
            <v>December</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PeopleSummary"/>
      <sheetName val="PeopleMenu"/>
      <sheetName val="Reporting_Period"/>
      <sheetName val="IndexPeopleMenu"/>
      <sheetName val="OSHA_Month"/>
      <sheetName val="OSHASeverity_Month"/>
      <sheetName val="MVARate_Month"/>
      <sheetName val="StaffLvlPerm_Month"/>
      <sheetName val="Availability_Month"/>
      <sheetName val="OT_Month"/>
      <sheetName val="OT_Qtr_YTD"/>
      <sheetName val="Data_OT"/>
      <sheetName val="Data_OSHA"/>
      <sheetName val="Data_OSHASeverity"/>
      <sheetName val="Data_MVARate"/>
      <sheetName val="Data_StaffLvlPerm"/>
      <sheetName val="Data_Availability"/>
      <sheetName val="Data_SuccessionPlan"/>
      <sheetName val="Data_CultureEthics"/>
      <sheetName val="Data_MastDev"/>
      <sheetName val="Data_TrainingBU"/>
      <sheetName val="Data_FringeRate"/>
      <sheetName val="OSHA_Qtr_YTD"/>
      <sheetName val="OSHASeverity_Qtr_YTD"/>
      <sheetName val="MVARate_Qtr_YTD"/>
      <sheetName val="StaffLvlPerm_Qtr_YTD"/>
      <sheetName val="Availability_Qtr_YTD"/>
      <sheetName val="SuccessionPlan_Qtr_YTD"/>
      <sheetName val="CultureEthics_Qtr_YTD"/>
      <sheetName val="MastDev_Qtr_YTD"/>
      <sheetName val="TrainingBU_Qtr_YTD"/>
      <sheetName val="FringeRate_Qtr_YTD"/>
      <sheetName val="OSHA_Qtr_YTD (2)"/>
    </sheetNames>
    <sheetDataSet>
      <sheetData sheetId="0" refreshError="1"/>
      <sheetData sheetId="1" refreshError="1">
        <row r="2">
          <cell r="D2">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imulus only"/>
      <sheetName val="Pivot"/>
      <sheetName val="Work Plan"/>
      <sheetName val="RTEP"/>
      <sheetName val="NewMonthProcedure"/>
      <sheetName val="Month"/>
      <sheetName val="YTD"/>
      <sheetName val="Budget"/>
      <sheetName val="units"/>
      <sheetName val="Plan"/>
      <sheetName val="Revised Plan"/>
      <sheetName val="Utility Cap Report"/>
      <sheetName val="ED Summary"/>
      <sheetName val="Proj removed from file"/>
    </sheetNames>
    <sheetDataSet>
      <sheetData sheetId="0" refreshError="1"/>
      <sheetData sheetId="1" refreshError="1"/>
      <sheetData sheetId="2" refreshError="1">
        <row r="303">
          <cell r="H303">
            <v>44777900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 Delivery"/>
      <sheetName val="MainMenu"/>
      <sheetName val="Northern Div"/>
      <sheetName val="Central Div"/>
      <sheetName val="Southern Div"/>
      <sheetName val="GSOC M&amp;R"/>
      <sheetName val="DATA INPUT SHT"/>
    </sheetNames>
    <sheetDataSet>
      <sheetData sheetId="0" refreshError="1">
        <row r="8">
          <cell r="A8" t="str">
            <v>OSHA Days Away Rate (Severity)</v>
          </cell>
        </row>
        <row r="18">
          <cell r="A18" t="str">
            <v>SAFE and RELIABLE</v>
          </cell>
          <cell r="B18" t="str">
            <v>Gas Delivery</v>
          </cell>
          <cell r="C18">
            <v>0.998</v>
          </cell>
          <cell r="D18">
            <v>0.999</v>
          </cell>
          <cell r="E18" t="str">
            <v>é</v>
          </cell>
          <cell r="F18">
            <v>0.999</v>
          </cell>
          <cell r="G18">
            <v>0.999</v>
          </cell>
          <cell r="H18">
            <v>0.998</v>
          </cell>
          <cell r="I18">
            <v>0.999</v>
          </cell>
          <cell r="M18" t="str">
            <v>SAFE and RELIABLE</v>
          </cell>
          <cell r="N18" t="str">
            <v>Gas Delivery</v>
          </cell>
          <cell r="O18">
            <v>0.998</v>
          </cell>
          <cell r="P18">
            <v>0.999</v>
          </cell>
          <cell r="Q18" t="str">
            <v>-</v>
          </cell>
          <cell r="R18">
            <v>0.996</v>
          </cell>
          <cell r="S18">
            <v>0.99399999999999999</v>
          </cell>
          <cell r="T18">
            <v>0.99399999999999999</v>
          </cell>
          <cell r="U18">
            <v>0.998</v>
          </cell>
        </row>
        <row r="19">
          <cell r="A19" t="str">
            <v>Appointments Kept</v>
          </cell>
          <cell r="B19" t="str">
            <v>L/H</v>
          </cell>
          <cell r="C19" t="str">
            <v>Nov 08 YTD</v>
          </cell>
          <cell r="D19" t="str">
            <v>2009 Target</v>
          </cell>
          <cell r="E19" t="str">
            <v>YE Forecast</v>
          </cell>
          <cell r="F19" t="str">
            <v>Gas Delivery</v>
          </cell>
          <cell r="G19" t="str">
            <v>Northern</v>
          </cell>
          <cell r="H19" t="str">
            <v>Central</v>
          </cell>
          <cell r="I19" t="str">
            <v>Southern</v>
          </cell>
          <cell r="J19" t="str">
            <v>GSOC M&amp;R</v>
          </cell>
          <cell r="K19" t="str">
            <v>VP &amp; Support</v>
          </cell>
          <cell r="M19" t="str">
            <v>Appointment Kept</v>
          </cell>
          <cell r="N19" t="str">
            <v>L/H</v>
          </cell>
          <cell r="O19" t="str">
            <v>Nov 08</v>
          </cell>
          <cell r="P19" t="str">
            <v>2009 Target</v>
          </cell>
          <cell r="Q19" t="str">
            <v>Monthly Status</v>
          </cell>
          <cell r="R19" t="str">
            <v>Gas Delivery</v>
          </cell>
          <cell r="S19" t="str">
            <v>Northern</v>
          </cell>
          <cell r="T19" t="str">
            <v>Central</v>
          </cell>
          <cell r="U19" t="str">
            <v>Southern</v>
          </cell>
          <cell r="V19" t="str">
            <v>GSOC M&amp;R</v>
          </cell>
          <cell r="W19" t="str">
            <v>VP &amp; Support</v>
          </cell>
        </row>
        <row r="20">
          <cell r="A20" t="str">
            <v>Gas Leak Reports Per Mile</v>
          </cell>
          <cell r="B20" t="str">
            <v>L</v>
          </cell>
          <cell r="C20">
            <v>0.20899999999999999</v>
          </cell>
          <cell r="D20">
            <v>0.222</v>
          </cell>
          <cell r="E20" t="str">
            <v>é</v>
          </cell>
          <cell r="F20">
            <v>0.189</v>
          </cell>
          <cell r="G20">
            <v>0.247</v>
          </cell>
          <cell r="H20">
            <v>0.23599999999999999</v>
          </cell>
          <cell r="I20">
            <v>0.13</v>
          </cell>
          <cell r="M20" t="str">
            <v>Gas Leak Reports Per Mile</v>
          </cell>
          <cell r="N20" t="str">
            <v>L</v>
          </cell>
          <cell r="O20">
            <v>1.2E-2</v>
          </cell>
          <cell r="P20">
            <v>0.222</v>
          </cell>
          <cell r="Q20" t="str">
            <v>+</v>
          </cell>
          <cell r="R20">
            <v>1.2999999999999999E-2</v>
          </cell>
          <cell r="S20">
            <v>2.1000000000000001E-2</v>
          </cell>
          <cell r="T20">
            <v>1.4999999999999999E-2</v>
          </cell>
          <cell r="U20">
            <v>7.0000000000000001E-3</v>
          </cell>
        </row>
        <row r="21">
          <cell r="A21" t="str">
            <v>Leak Response Rate</v>
          </cell>
          <cell r="B21" t="str">
            <v>H</v>
          </cell>
          <cell r="C21">
            <v>0.999</v>
          </cell>
          <cell r="D21">
            <v>0.999</v>
          </cell>
          <cell r="E21" t="str">
            <v>é</v>
          </cell>
          <cell r="F21">
            <v>0.999</v>
          </cell>
          <cell r="G21" t="str">
            <v>99.9.%</v>
          </cell>
          <cell r="H21">
            <v>0.998</v>
          </cell>
          <cell r="I21">
            <v>0.998</v>
          </cell>
          <cell r="M21" t="str">
            <v>Leak Response Rate</v>
          </cell>
          <cell r="N21" t="str">
            <v>H</v>
          </cell>
          <cell r="O21">
            <v>0.999</v>
          </cell>
          <cell r="P21">
            <v>0.999</v>
          </cell>
          <cell r="Q21" t="str">
            <v>-</v>
          </cell>
          <cell r="R21">
            <v>0.998</v>
          </cell>
          <cell r="S21">
            <v>0.999</v>
          </cell>
          <cell r="T21">
            <v>0.996</v>
          </cell>
          <cell r="U21">
            <v>0.999</v>
          </cell>
        </row>
        <row r="22">
          <cell r="A22" t="str">
            <v>Appointment Kept</v>
          </cell>
          <cell r="B22" t="str">
            <v>H</v>
          </cell>
          <cell r="C22">
            <v>0.95099999999999996</v>
          </cell>
          <cell r="D22">
            <v>0.95099999999999996</v>
          </cell>
          <cell r="E22" t="str">
            <v>ê</v>
          </cell>
          <cell r="F22" t="str">
            <v>N/A</v>
          </cell>
          <cell r="G22" t="str">
            <v>N/A</v>
          </cell>
          <cell r="H22" t="str">
            <v>N/A</v>
          </cell>
          <cell r="I22" t="str">
            <v>N/A</v>
          </cell>
          <cell r="M22" t="str">
            <v>Appointment Kept</v>
          </cell>
          <cell r="N22" t="str">
            <v>H</v>
          </cell>
          <cell r="O22">
            <v>0.94699999999999995</v>
          </cell>
          <cell r="P22">
            <v>0.95099999999999996</v>
          </cell>
          <cell r="Q22" t="str">
            <v>+</v>
          </cell>
          <cell r="R22" t="str">
            <v>N/A</v>
          </cell>
          <cell r="S22" t="str">
            <v>N/A</v>
          </cell>
          <cell r="T22" t="str">
            <v>N/A</v>
          </cell>
          <cell r="U22" t="str">
            <v>N/A</v>
          </cell>
        </row>
        <row r="23">
          <cell r="A23" t="str">
            <v>BPU Inquiries - Non-Collection</v>
          </cell>
          <cell r="B23" t="str">
            <v>L</v>
          </cell>
          <cell r="C23">
            <v>97</v>
          </cell>
          <cell r="D23">
            <v>141</v>
          </cell>
          <cell r="E23" t="str">
            <v>ê</v>
          </cell>
          <cell r="F23">
            <v>172</v>
          </cell>
          <cell r="G23">
            <v>54</v>
          </cell>
          <cell r="H23">
            <v>63</v>
          </cell>
          <cell r="I23">
            <v>53</v>
          </cell>
          <cell r="M23" t="str">
            <v>BPU Inquiries - Non-Collection</v>
          </cell>
          <cell r="N23" t="str">
            <v>L</v>
          </cell>
          <cell r="O23">
            <v>13</v>
          </cell>
          <cell r="P23">
            <v>16</v>
          </cell>
          <cell r="Q23" t="str">
            <v>+</v>
          </cell>
          <cell r="R23">
            <v>3</v>
          </cell>
          <cell r="S23">
            <v>1</v>
          </cell>
          <cell r="T23">
            <v>1</v>
          </cell>
          <cell r="U23">
            <v>1</v>
          </cell>
        </row>
        <row r="24">
          <cell r="A24" t="str">
            <v>Perception Survey (Res/Sm Business)</v>
          </cell>
          <cell r="B24" t="str">
            <v>H</v>
          </cell>
          <cell r="C24">
            <v>75</v>
          </cell>
          <cell r="D24">
            <v>76</v>
          </cell>
          <cell r="E24" t="str">
            <v>ê</v>
          </cell>
          <cell r="F24">
            <v>74</v>
          </cell>
          <cell r="G24">
            <v>73</v>
          </cell>
          <cell r="H24">
            <v>74</v>
          </cell>
          <cell r="I24">
            <v>75</v>
          </cell>
          <cell r="M24" t="str">
            <v>Perception Survey (Res/Sm Business)</v>
          </cell>
          <cell r="N24" t="str">
            <v>H</v>
          </cell>
          <cell r="O24">
            <v>78</v>
          </cell>
          <cell r="P24">
            <v>76</v>
          </cell>
          <cell r="Q24" t="str">
            <v>-</v>
          </cell>
          <cell r="R24">
            <v>73</v>
          </cell>
          <cell r="S24">
            <v>2.62</v>
          </cell>
          <cell r="T24">
            <v>3.09</v>
          </cell>
          <cell r="U24">
            <v>2.9</v>
          </cell>
        </row>
        <row r="25">
          <cell r="A25" t="str">
            <v>Moment of Truth Survey</v>
          </cell>
          <cell r="B25" t="str">
            <v>H</v>
          </cell>
          <cell r="C25">
            <v>9.3000000000000007</v>
          </cell>
          <cell r="D25">
            <v>9.3000000000000007</v>
          </cell>
          <cell r="E25" t="str">
            <v>çè</v>
          </cell>
          <cell r="F25">
            <v>9.1</v>
          </cell>
          <cell r="G25">
            <v>9.1</v>
          </cell>
          <cell r="H25">
            <v>8.9</v>
          </cell>
          <cell r="I25">
            <v>9.3000000000000007</v>
          </cell>
          <cell r="M25" t="str">
            <v>Moment of Truth Survey</v>
          </cell>
          <cell r="N25" t="str">
            <v>H</v>
          </cell>
          <cell r="O25">
            <v>9.4</v>
          </cell>
          <cell r="P25">
            <v>9.3000000000000007</v>
          </cell>
          <cell r="Q25" t="str">
            <v>-</v>
          </cell>
          <cell r="R25">
            <v>9.1999999999999993</v>
          </cell>
        </row>
        <row r="26">
          <cell r="A26" t="str">
            <v>Damages Per 1,000 Locate Requests</v>
          </cell>
          <cell r="B26" t="str">
            <v>L</v>
          </cell>
          <cell r="C26">
            <v>1.83</v>
          </cell>
          <cell r="D26">
            <v>1.97</v>
          </cell>
          <cell r="E26" t="str">
            <v>é</v>
          </cell>
          <cell r="F26">
            <v>1.52</v>
          </cell>
          <cell r="G26">
            <v>1.42</v>
          </cell>
          <cell r="H26">
            <v>2.11</v>
          </cell>
          <cell r="I26">
            <v>1.41</v>
          </cell>
          <cell r="J26">
            <v>1</v>
          </cell>
          <cell r="M26" t="str">
            <v>Damages Per 1,000 Locate Requests</v>
          </cell>
          <cell r="N26" t="str">
            <v>L</v>
          </cell>
          <cell r="O26">
            <v>1.7</v>
          </cell>
          <cell r="P26">
            <v>1.97</v>
          </cell>
          <cell r="Q26" t="str">
            <v>+</v>
          </cell>
          <cell r="R26">
            <v>1.94</v>
          </cell>
          <cell r="S26">
            <v>1.55</v>
          </cell>
          <cell r="T26">
            <v>3.08</v>
          </cell>
          <cell r="U26">
            <v>1.88</v>
          </cell>
        </row>
        <row r="27">
          <cell r="A27" t="str">
            <v>Gas Damages Per 1,000 Locate Requests</v>
          </cell>
          <cell r="B27" t="str">
            <v>L</v>
          </cell>
          <cell r="C27">
            <v>2.81</v>
          </cell>
          <cell r="D27">
            <v>2.96</v>
          </cell>
          <cell r="E27" t="str">
            <v>é</v>
          </cell>
          <cell r="F27">
            <v>2.2799999999999998</v>
          </cell>
          <cell r="G27">
            <v>2.27</v>
          </cell>
          <cell r="H27">
            <v>2.77</v>
          </cell>
          <cell r="I27">
            <v>2.11</v>
          </cell>
          <cell r="M27" t="str">
            <v>Gas Damages Per 1,000 Locate Requests</v>
          </cell>
          <cell r="N27" t="str">
            <v>L</v>
          </cell>
          <cell r="O27">
            <v>2.82</v>
          </cell>
          <cell r="P27">
            <v>2.96</v>
          </cell>
          <cell r="Q27" t="str">
            <v>+</v>
          </cell>
          <cell r="R27">
            <v>2.61</v>
          </cell>
          <cell r="S27">
            <v>2.75</v>
          </cell>
          <cell r="T27">
            <v>3.52</v>
          </cell>
          <cell r="U27">
            <v>2.19</v>
          </cell>
        </row>
        <row r="28">
          <cell r="A28" t="str">
            <v>Elect. Damages Per 1,000 Locate Requests</v>
          </cell>
          <cell r="B28" t="str">
            <v>L</v>
          </cell>
          <cell r="C28">
            <v>0.8</v>
          </cell>
          <cell r="D28">
            <v>0.93</v>
          </cell>
          <cell r="E28" t="str">
            <v>é</v>
          </cell>
          <cell r="F28">
            <v>0.71</v>
          </cell>
          <cell r="G28" t="str">
            <v>Northern</v>
          </cell>
          <cell r="H28" t="str">
            <v>Central</v>
          </cell>
          <cell r="I28" t="str">
            <v>Southern</v>
          </cell>
          <cell r="J28" t="str">
            <v>GSOC M&amp;R</v>
          </cell>
          <cell r="K28" t="str">
            <v>VP &amp; Support</v>
          </cell>
          <cell r="M28" t="str">
            <v>Elect. Damages Per 1,000 Locate Requests</v>
          </cell>
          <cell r="N28" t="str">
            <v>L</v>
          </cell>
          <cell r="O28">
            <v>0.51</v>
          </cell>
          <cell r="P28">
            <v>0.93</v>
          </cell>
          <cell r="Q28" t="str">
            <v>-</v>
          </cell>
          <cell r="R28">
            <v>1.24</v>
          </cell>
          <cell r="S28" t="str">
            <v>Northern</v>
          </cell>
          <cell r="T28" t="str">
            <v>Central</v>
          </cell>
          <cell r="U28" t="str">
            <v>Southern</v>
          </cell>
          <cell r="V28" t="str">
            <v>GSOC M&amp;R</v>
          </cell>
          <cell r="W28" t="str">
            <v>VP &amp; Support</v>
          </cell>
        </row>
        <row r="29">
          <cell r="A29" t="str">
            <v>Workhrs/Unit Tariff</v>
          </cell>
          <cell r="B29" t="str">
            <v>L</v>
          </cell>
          <cell r="C29">
            <v>0.51</v>
          </cell>
          <cell r="D29">
            <v>0.51</v>
          </cell>
          <cell r="E29" t="str">
            <v>é</v>
          </cell>
          <cell r="F29" t="str">
            <v>N/A</v>
          </cell>
          <cell r="G29" t="str">
            <v>N/A</v>
          </cell>
          <cell r="H29" t="str">
            <v>N/A</v>
          </cell>
          <cell r="I29" t="str">
            <v>N/A</v>
          </cell>
          <cell r="J29">
            <v>9.4025689999999997</v>
          </cell>
          <cell r="K29">
            <v>1.17</v>
          </cell>
          <cell r="M29" t="str">
            <v>Workhrs/Unit Tariff</v>
          </cell>
          <cell r="N29" t="str">
            <v>L</v>
          </cell>
          <cell r="O29">
            <v>0.52</v>
          </cell>
          <cell r="P29">
            <v>0.51</v>
          </cell>
          <cell r="Q29" t="str">
            <v>-</v>
          </cell>
          <cell r="R29" t="str">
            <v>N/A</v>
          </cell>
          <cell r="S29" t="str">
            <v>N/A</v>
          </cell>
          <cell r="T29" t="str">
            <v>N/A</v>
          </cell>
          <cell r="U29" t="str">
            <v>N/A</v>
          </cell>
          <cell r="V29">
            <v>0.50339</v>
          </cell>
          <cell r="W29">
            <v>5.3696000000000001E-2</v>
          </cell>
        </row>
        <row r="30">
          <cell r="A30" t="str">
            <v>Workhrs/Unit Comp. Services</v>
          </cell>
          <cell r="B30" t="str">
            <v>L</v>
          </cell>
          <cell r="C30">
            <v>0.43</v>
          </cell>
          <cell r="D30">
            <v>0.43</v>
          </cell>
          <cell r="E30" t="str">
            <v>é</v>
          </cell>
          <cell r="F30" t="str">
            <v>N/A</v>
          </cell>
          <cell r="G30" t="str">
            <v>N/A</v>
          </cell>
          <cell r="H30" t="str">
            <v>N/A</v>
          </cell>
          <cell r="I30" t="str">
            <v>N/A</v>
          </cell>
          <cell r="M30" t="str">
            <v>Workhrs/Unit Comp. Services</v>
          </cell>
          <cell r="N30" t="str">
            <v>L</v>
          </cell>
          <cell r="O30">
            <v>0.43</v>
          </cell>
          <cell r="P30">
            <v>0.43</v>
          </cell>
          <cell r="Q30" t="str">
            <v>-</v>
          </cell>
          <cell r="R30" t="str">
            <v>N/A</v>
          </cell>
          <cell r="S30" t="str">
            <v>N/A</v>
          </cell>
          <cell r="T30" t="str">
            <v>N/A</v>
          </cell>
          <cell r="U30" t="str">
            <v>N/A</v>
          </cell>
        </row>
        <row r="31">
          <cell r="A31" t="str">
            <v>Open Leaks</v>
          </cell>
          <cell r="B31" t="str">
            <v>L</v>
          </cell>
          <cell r="C31">
            <v>1948</v>
          </cell>
          <cell r="D31">
            <v>2400</v>
          </cell>
          <cell r="E31" t="str">
            <v>é</v>
          </cell>
          <cell r="F31">
            <v>2046</v>
          </cell>
          <cell r="G31">
            <v>1160</v>
          </cell>
          <cell r="H31">
            <v>349</v>
          </cell>
          <cell r="I31">
            <v>537</v>
          </cell>
          <cell r="M31" t="str">
            <v>Open Leaks</v>
          </cell>
          <cell r="N31" t="str">
            <v>L</v>
          </cell>
          <cell r="O31">
            <v>1948</v>
          </cell>
          <cell r="P31">
            <v>2400</v>
          </cell>
          <cell r="Q31" t="str">
            <v>+</v>
          </cell>
          <cell r="R31">
            <v>2046</v>
          </cell>
          <cell r="S31">
            <v>1160</v>
          </cell>
          <cell r="T31">
            <v>349</v>
          </cell>
          <cell r="U31">
            <v>537</v>
          </cell>
        </row>
        <row r="32">
          <cell r="A32" t="str">
            <v>Open Class 2 Leaks</v>
          </cell>
          <cell r="B32" t="str">
            <v>L</v>
          </cell>
          <cell r="C32">
            <v>930</v>
          </cell>
          <cell r="D32">
            <v>1300</v>
          </cell>
          <cell r="E32" t="str">
            <v>é</v>
          </cell>
          <cell r="F32">
            <v>981</v>
          </cell>
          <cell r="G32">
            <v>509</v>
          </cell>
          <cell r="H32">
            <v>148</v>
          </cell>
          <cell r="I32">
            <v>324</v>
          </cell>
          <cell r="M32" t="str">
            <v>Open Class 2 Leaks</v>
          </cell>
          <cell r="N32" t="str">
            <v>L</v>
          </cell>
          <cell r="O32">
            <v>930</v>
          </cell>
          <cell r="P32">
            <v>1300</v>
          </cell>
          <cell r="Q32" t="str">
            <v>+</v>
          </cell>
          <cell r="R32">
            <v>981</v>
          </cell>
          <cell r="S32">
            <v>509</v>
          </cell>
          <cell r="T32">
            <v>148</v>
          </cell>
          <cell r="U32">
            <v>324</v>
          </cell>
        </row>
        <row r="33">
          <cell r="A33" t="str">
            <v>New Business Construction Survey</v>
          </cell>
          <cell r="B33" t="str">
            <v>H</v>
          </cell>
          <cell r="C33">
            <v>8.6</v>
          </cell>
          <cell r="D33">
            <v>8.6999999999999993</v>
          </cell>
          <cell r="E33" t="str">
            <v>ê</v>
          </cell>
          <cell r="F33">
            <v>8.6</v>
          </cell>
          <cell r="G33">
            <v>8.5</v>
          </cell>
          <cell r="H33">
            <v>8.6</v>
          </cell>
          <cell r="I33">
            <v>8.6999999999999993</v>
          </cell>
          <cell r="J33">
            <v>9.7958769300000004</v>
          </cell>
          <cell r="K33">
            <v>37.722999999999999</v>
          </cell>
          <cell r="M33" t="str">
            <v>New Business Construction Survey</v>
          </cell>
          <cell r="N33" t="str">
            <v>H</v>
          </cell>
          <cell r="O33">
            <v>8.6</v>
          </cell>
          <cell r="P33">
            <v>8.6999999999999993</v>
          </cell>
          <cell r="Q33" t="str">
            <v>-</v>
          </cell>
          <cell r="R33">
            <v>8.6</v>
          </cell>
          <cell r="S33">
            <v>8.1</v>
          </cell>
          <cell r="T33">
            <v>8.8000000000000007</v>
          </cell>
          <cell r="U33">
            <v>8.6999999999999993</v>
          </cell>
          <cell r="V33">
            <v>0.47747115000000001</v>
          </cell>
          <cell r="W33">
            <v>3.1549999999999998</v>
          </cell>
        </row>
        <row r="34">
          <cell r="A34" t="str">
            <v>% Regulatory Compliance</v>
          </cell>
          <cell r="B34" t="str">
            <v>H</v>
          </cell>
          <cell r="C34">
            <v>1</v>
          </cell>
          <cell r="D34">
            <v>1</v>
          </cell>
          <cell r="E34" t="str">
            <v>çè</v>
          </cell>
          <cell r="F34">
            <v>0.91600000000000004</v>
          </cell>
          <cell r="G34">
            <v>0.82599999999999996</v>
          </cell>
          <cell r="H34">
            <v>0.92200000000000004</v>
          </cell>
          <cell r="I34">
            <v>0.95599999999999996</v>
          </cell>
          <cell r="J34">
            <v>1</v>
          </cell>
          <cell r="M34" t="str">
            <v>Gross Margin Competitive Serv. ($M)</v>
          </cell>
          <cell r="N34" t="str">
            <v>H</v>
          </cell>
          <cell r="O34">
            <v>5.2539999999999996</v>
          </cell>
          <cell r="P34">
            <v>5.1589999999999998</v>
          </cell>
          <cell r="Q34" t="str">
            <v>-</v>
          </cell>
          <cell r="R34">
            <v>5.099602840000002</v>
          </cell>
          <cell r="S34">
            <v>1.6284819500000003</v>
          </cell>
          <cell r="T34">
            <v>0.74829197000000025</v>
          </cell>
          <cell r="U34">
            <v>2.2546768700000008</v>
          </cell>
        </row>
        <row r="35">
          <cell r="A35" t="str">
            <v>Fully Loaded $/Unit - New Main</v>
          </cell>
          <cell r="B35" t="str">
            <v>L</v>
          </cell>
          <cell r="C35">
            <v>54.83</v>
          </cell>
          <cell r="D35">
            <v>51.37</v>
          </cell>
          <cell r="E35" t="str">
            <v>ê</v>
          </cell>
          <cell r="F35">
            <v>52.978086728573849</v>
          </cell>
          <cell r="G35">
            <v>52.070918306261724</v>
          </cell>
          <cell r="H35">
            <v>90.503983977010492</v>
          </cell>
          <cell r="I35">
            <v>46.149092181612509</v>
          </cell>
          <cell r="M35" t="str">
            <v>Fully Loaded $/Unit - New Main</v>
          </cell>
          <cell r="N35" t="str">
            <v>L</v>
          </cell>
          <cell r="O35">
            <v>57.76</v>
          </cell>
          <cell r="P35">
            <v>51.978541924959067</v>
          </cell>
          <cell r="Q35" t="str">
            <v>-</v>
          </cell>
          <cell r="R35">
            <v>53.396523250760538</v>
          </cell>
          <cell r="S35">
            <v>61.022919179734622</v>
          </cell>
          <cell r="T35">
            <v>65.603964098728497</v>
          </cell>
          <cell r="U35">
            <v>49.428015564202333</v>
          </cell>
        </row>
        <row r="36">
          <cell r="A36" t="str">
            <v>ECONOMIC</v>
          </cell>
          <cell r="B36" t="str">
            <v>Gas Delivery</v>
          </cell>
          <cell r="C36">
            <v>5337</v>
          </cell>
          <cell r="D36">
            <v>5210</v>
          </cell>
          <cell r="E36" t="str">
            <v>é</v>
          </cell>
          <cell r="F36">
            <v>4972.5000590680374</v>
          </cell>
          <cell r="G36">
            <v>5298.0572483841179</v>
          </cell>
          <cell r="H36">
            <v>6091.3319194061505</v>
          </cell>
          <cell r="I36">
            <v>4419.4010884086438</v>
          </cell>
        </row>
        <row r="37">
          <cell r="A37" t="str">
            <v>Fully Loaded $/Unit - Repl. Main</v>
          </cell>
          <cell r="B37" t="str">
            <v>L/H</v>
          </cell>
          <cell r="C37" t="str">
            <v>Nov 08 YTD</v>
          </cell>
          <cell r="D37" t="str">
            <v>2009 Target</v>
          </cell>
          <cell r="E37" t="str">
            <v>YE Forecast</v>
          </cell>
          <cell r="F37" t="str">
            <v>Gas Delivery</v>
          </cell>
          <cell r="G37" t="str">
            <v>Northern</v>
          </cell>
          <cell r="H37" t="str">
            <v>Central</v>
          </cell>
          <cell r="I37" t="str">
            <v>Southern</v>
          </cell>
          <cell r="J37" t="str">
            <v>GSOC M&amp;R</v>
          </cell>
          <cell r="K37" t="str">
            <v>VP &amp; Support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row r="21">
          <cell r="A21" t="str">
            <v>SAIFI</v>
          </cell>
          <cell r="B21" t="str">
            <v>L</v>
          </cell>
          <cell r="C21">
            <v>0.66</v>
          </cell>
          <cell r="D21">
            <v>0.72</v>
          </cell>
          <cell r="E21" t="str">
            <v>é</v>
          </cell>
          <cell r="F21">
            <v>0.64</v>
          </cell>
          <cell r="I21">
            <v>0.64</v>
          </cell>
          <cell r="L21" t="str">
            <v>SAIFI</v>
          </cell>
          <cell r="M21" t="str">
            <v>L</v>
          </cell>
          <cell r="N21">
            <v>0.04</v>
          </cell>
          <cell r="O21">
            <v>5.0996821272297967E-2</v>
          </cell>
          <cell r="P21" t="str">
            <v>+</v>
          </cell>
          <cell r="Q21">
            <v>0.04</v>
          </cell>
          <cell r="T21">
            <v>0.04</v>
          </cell>
          <cell r="V21" t="str">
            <v>M</v>
          </cell>
        </row>
        <row r="22">
          <cell r="A22" t="str">
            <v>MAIFI</v>
          </cell>
          <cell r="B22" t="str">
            <v>L</v>
          </cell>
          <cell r="C22">
            <v>1.24</v>
          </cell>
          <cell r="D22">
            <v>1.25</v>
          </cell>
          <cell r="E22" t="str">
            <v>é</v>
          </cell>
          <cell r="F22">
            <v>1.1399999999999999</v>
          </cell>
          <cell r="I22">
            <v>1.1399999999999999</v>
          </cell>
          <cell r="L22" t="str">
            <v>MAIFI</v>
          </cell>
          <cell r="M22" t="str">
            <v>L</v>
          </cell>
          <cell r="N22">
            <v>0.09</v>
          </cell>
          <cell r="O22">
            <v>0.11391304347826098</v>
          </cell>
          <cell r="P22" t="str">
            <v>+</v>
          </cell>
          <cell r="Q22">
            <v>0.08</v>
          </cell>
          <cell r="T22">
            <v>0.08</v>
          </cell>
          <cell r="V22" t="str">
            <v>M</v>
          </cell>
        </row>
        <row r="23">
          <cell r="A23" t="str">
            <v>CAIDI</v>
          </cell>
          <cell r="B23" t="str">
            <v>L</v>
          </cell>
          <cell r="C23">
            <v>65.400000000000006</v>
          </cell>
          <cell r="D23">
            <v>66.5</v>
          </cell>
          <cell r="E23" t="str">
            <v>é</v>
          </cell>
          <cell r="F23">
            <v>64.11</v>
          </cell>
          <cell r="I23">
            <v>64.11</v>
          </cell>
          <cell r="L23" t="str">
            <v>CAIDI</v>
          </cell>
          <cell r="M23" t="str">
            <v>L</v>
          </cell>
          <cell r="N23">
            <v>46.8</v>
          </cell>
          <cell r="O23">
            <v>58.344090663574896</v>
          </cell>
          <cell r="P23" t="str">
            <v>-</v>
          </cell>
          <cell r="Q23">
            <v>70.39</v>
          </cell>
          <cell r="T23">
            <v>70.39</v>
          </cell>
          <cell r="V23" t="str">
            <v>M</v>
          </cell>
        </row>
        <row r="24">
          <cell r="A24" t="str">
            <v>CEMI</v>
          </cell>
          <cell r="B24" t="str">
            <v>L</v>
          </cell>
          <cell r="C24">
            <v>0.02</v>
          </cell>
          <cell r="D24">
            <v>2.3E-2</v>
          </cell>
          <cell r="E24" t="str">
            <v>é</v>
          </cell>
          <cell r="F24">
            <v>1.0999999999999999E-2</v>
          </cell>
          <cell r="I24">
            <v>1.0999999999999999E-2</v>
          </cell>
          <cell r="L24" t="str">
            <v>CEMI</v>
          </cell>
          <cell r="M24" t="str">
            <v>L</v>
          </cell>
          <cell r="N24">
            <v>0</v>
          </cell>
          <cell r="O24">
            <v>0</v>
          </cell>
          <cell r="P24" t="str">
            <v>o</v>
          </cell>
          <cell r="Q24">
            <v>0</v>
          </cell>
          <cell r="T24">
            <v>0</v>
          </cell>
          <cell r="V24" t="str">
            <v>M</v>
          </cell>
        </row>
        <row r="25">
          <cell r="A25" t="str">
            <v>Gas Leak Reports per Mile</v>
          </cell>
          <cell r="B25" t="str">
            <v>L</v>
          </cell>
          <cell r="C25">
            <v>0.20899999999999999</v>
          </cell>
          <cell r="D25">
            <v>0.222</v>
          </cell>
          <cell r="E25" t="str">
            <v>é</v>
          </cell>
          <cell r="F25">
            <v>0.18906559222724459</v>
          </cell>
          <cell r="H25">
            <v>0.189</v>
          </cell>
          <cell r="L25" t="str">
            <v>Gas Leak Reports per Mile</v>
          </cell>
          <cell r="M25" t="str">
            <v>L</v>
          </cell>
          <cell r="N25">
            <v>1.2E-2</v>
          </cell>
          <cell r="O25">
            <v>1.4017627333333319E-2</v>
          </cell>
          <cell r="P25" t="str">
            <v>+</v>
          </cell>
          <cell r="Q25">
            <v>1.2821957549319916E-2</v>
          </cell>
          <cell r="S25">
            <v>1.2999999999999999E-2</v>
          </cell>
          <cell r="V25" t="str">
            <v>M</v>
          </cell>
        </row>
        <row r="26">
          <cell r="A26" t="str">
            <v>Damages per 1,000 Locate Requests</v>
          </cell>
          <cell r="B26" t="str">
            <v>L</v>
          </cell>
          <cell r="C26">
            <v>1.83</v>
          </cell>
          <cell r="D26">
            <v>1.97</v>
          </cell>
          <cell r="E26" t="str">
            <v>é</v>
          </cell>
          <cell r="F26">
            <v>1.52</v>
          </cell>
          <cell r="H26">
            <v>2.2799999999999998</v>
          </cell>
          <cell r="I26">
            <v>0.71</v>
          </cell>
          <cell r="L26" t="str">
            <v>Damages per 1,000 Locate Requests</v>
          </cell>
          <cell r="M26" t="str">
            <v>L</v>
          </cell>
          <cell r="N26">
            <v>1.7</v>
          </cell>
          <cell r="O26">
            <v>1.97</v>
          </cell>
          <cell r="P26" t="str">
            <v>+</v>
          </cell>
          <cell r="Q26">
            <v>1.94</v>
          </cell>
          <cell r="S26">
            <v>2.61</v>
          </cell>
          <cell r="T26">
            <v>1.24</v>
          </cell>
          <cell r="V26" t="str">
            <v>M</v>
          </cell>
        </row>
        <row r="27">
          <cell r="A27" t="str">
            <v>Leak Response Rate</v>
          </cell>
          <cell r="B27" t="str">
            <v>H</v>
          </cell>
          <cell r="C27">
            <v>0.99939999999999996</v>
          </cell>
          <cell r="D27">
            <v>0.99900000000000011</v>
          </cell>
          <cell r="E27" t="str">
            <v>é</v>
          </cell>
          <cell r="F27">
            <v>0.999</v>
          </cell>
          <cell r="H27">
            <v>0.999</v>
          </cell>
          <cell r="L27" t="str">
            <v>Leak Response Rate</v>
          </cell>
          <cell r="M27" t="str">
            <v>H</v>
          </cell>
          <cell r="N27">
            <v>0.99909999999999999</v>
          </cell>
          <cell r="O27">
            <v>0.99900000000000011</v>
          </cell>
          <cell r="P27" t="str">
            <v>-</v>
          </cell>
          <cell r="Q27">
            <v>0.998</v>
          </cell>
          <cell r="S27">
            <v>0.998</v>
          </cell>
          <cell r="V27" t="str">
            <v>M</v>
          </cell>
        </row>
        <row r="28">
          <cell r="A28" t="str">
            <v>Fix It Right</v>
          </cell>
          <cell r="B28" t="str">
            <v>H</v>
          </cell>
          <cell r="C28">
            <v>0.86467000000000005</v>
          </cell>
          <cell r="D28" t="str">
            <v>N/A</v>
          </cell>
          <cell r="E28" t="e">
            <v>#REF!</v>
          </cell>
          <cell r="F28">
            <v>0</v>
          </cell>
          <cell r="H28">
            <v>0</v>
          </cell>
          <cell r="L28" t="str">
            <v>Fix It Right</v>
          </cell>
          <cell r="M28" t="str">
            <v>H</v>
          </cell>
          <cell r="N28">
            <v>0.83869000000000005</v>
          </cell>
          <cell r="O28">
            <v>0</v>
          </cell>
          <cell r="P28" t="str">
            <v>o</v>
          </cell>
          <cell r="Q28">
            <v>0</v>
          </cell>
          <cell r="S28">
            <v>0</v>
          </cell>
          <cell r="V28" t="str">
            <v>M</v>
          </cell>
        </row>
        <row r="29">
          <cell r="A29" t="str">
            <v>Percent of Actual Meters Read</v>
          </cell>
          <cell r="B29" t="str">
            <v>H</v>
          </cell>
          <cell r="C29">
            <v>0.90100000000000002</v>
          </cell>
          <cell r="D29">
            <v>0.90100000000000002</v>
          </cell>
          <cell r="E29" t="str">
            <v>ê</v>
          </cell>
          <cell r="F29">
            <v>0.88400000000000001</v>
          </cell>
          <cell r="G29">
            <v>0.88400000000000001</v>
          </cell>
          <cell r="L29" t="str">
            <v>Percent of Actual Meters Read</v>
          </cell>
          <cell r="M29" t="str">
            <v>H</v>
          </cell>
          <cell r="N29">
            <v>0.90300000000000002</v>
          </cell>
          <cell r="O29">
            <v>0.90100000000000002</v>
          </cell>
          <cell r="P29" t="str">
            <v>-</v>
          </cell>
          <cell r="Q29">
            <v>0.89500000000000002</v>
          </cell>
          <cell r="R29">
            <v>0.89500000000000002</v>
          </cell>
          <cell r="V29" t="str">
            <v>M</v>
          </cell>
        </row>
        <row r="30">
          <cell r="A30" t="str">
            <v>Gen'l Inquiry Service Level (30 sec.)</v>
          </cell>
          <cell r="B30" t="str">
            <v>H</v>
          </cell>
          <cell r="C30">
            <v>0.76</v>
          </cell>
          <cell r="D30">
            <v>0.51</v>
          </cell>
          <cell r="E30" t="str">
            <v>é</v>
          </cell>
          <cell r="F30">
            <v>0.61399999999999999</v>
          </cell>
          <cell r="G30">
            <v>0.61399999999999999</v>
          </cell>
          <cell r="L30" t="str">
            <v>Gen'l Inquiry Service Level (30 sec.)</v>
          </cell>
          <cell r="M30" t="str">
            <v>H</v>
          </cell>
          <cell r="N30">
            <v>0.70199999999999996</v>
          </cell>
          <cell r="O30">
            <v>0.51</v>
          </cell>
          <cell r="P30" t="str">
            <v>+</v>
          </cell>
          <cell r="Q30">
            <v>0.69499999999999995</v>
          </cell>
          <cell r="R30">
            <v>0.69499999999999995</v>
          </cell>
          <cell r="V30" t="str">
            <v>M</v>
          </cell>
        </row>
        <row r="31">
          <cell r="A31" t="str">
            <v>First Contact Resolution</v>
          </cell>
          <cell r="B31" t="str">
            <v>H</v>
          </cell>
          <cell r="C31">
            <v>0.871</v>
          </cell>
          <cell r="D31" t="str">
            <v>N/A</v>
          </cell>
          <cell r="E31" t="e">
            <v>#REF!</v>
          </cell>
          <cell r="F31">
            <v>0</v>
          </cell>
          <cell r="G31">
            <v>0</v>
          </cell>
          <cell r="L31" t="str">
            <v>First Contact Resolution</v>
          </cell>
          <cell r="M31" t="str">
            <v>H</v>
          </cell>
          <cell r="N31">
            <v>0.86</v>
          </cell>
          <cell r="O31">
            <v>0</v>
          </cell>
          <cell r="P31" t="str">
            <v>o</v>
          </cell>
          <cell r="Q31">
            <v>0</v>
          </cell>
          <cell r="R31">
            <v>0</v>
          </cell>
          <cell r="V31" t="str">
            <v>M</v>
          </cell>
        </row>
        <row r="32">
          <cell r="A32" t="str">
            <v>BPU Inquiry Rate-Collection</v>
          </cell>
          <cell r="B32" t="str">
            <v>L</v>
          </cell>
          <cell r="C32">
            <v>1.27</v>
          </cell>
          <cell r="D32">
            <v>1.25</v>
          </cell>
          <cell r="E32" t="str">
            <v>ê</v>
          </cell>
          <cell r="F32">
            <v>1.84</v>
          </cell>
          <cell r="G32">
            <v>1.84</v>
          </cell>
          <cell r="L32" t="str">
            <v>BPU Inquiry Rate-Collection</v>
          </cell>
          <cell r="M32" t="str">
            <v>L</v>
          </cell>
          <cell r="N32">
            <v>1.43</v>
          </cell>
          <cell r="O32">
            <v>1.25</v>
          </cell>
          <cell r="P32" t="str">
            <v>+</v>
          </cell>
          <cell r="Q32">
            <v>0.99</v>
          </cell>
          <cell r="R32">
            <v>0.99</v>
          </cell>
          <cell r="V32" t="str">
            <v>M</v>
          </cell>
        </row>
        <row r="33">
          <cell r="A33" t="str">
            <v>BPU Inquiries - Non-Collection</v>
          </cell>
          <cell r="B33" t="str">
            <v>L</v>
          </cell>
          <cell r="C33">
            <v>1305</v>
          </cell>
          <cell r="D33">
            <v>1500</v>
          </cell>
          <cell r="E33" t="str">
            <v>ê</v>
          </cell>
          <cell r="F33">
            <v>2662</v>
          </cell>
          <cell r="G33">
            <v>2193</v>
          </cell>
          <cell r="H33">
            <v>172</v>
          </cell>
          <cell r="I33">
            <v>145</v>
          </cell>
          <cell r="J33">
            <v>152</v>
          </cell>
          <cell r="L33" t="str">
            <v>BPU Inquiries - Non-Collection</v>
          </cell>
          <cell r="M33" t="str">
            <v>L</v>
          </cell>
          <cell r="N33">
            <v>89</v>
          </cell>
          <cell r="O33">
            <v>121</v>
          </cell>
          <cell r="P33" t="str">
            <v>-</v>
          </cell>
          <cell r="Q33">
            <v>258</v>
          </cell>
          <cell r="R33">
            <v>233</v>
          </cell>
          <cell r="S33">
            <v>3</v>
          </cell>
          <cell r="T33">
            <v>18</v>
          </cell>
          <cell r="U33">
            <v>4</v>
          </cell>
          <cell r="V33" t="str">
            <v>M</v>
          </cell>
        </row>
        <row r="34">
          <cell r="A34" t="str">
            <v>Perception Survey (Residential)</v>
          </cell>
          <cell r="B34" t="str">
            <v>H</v>
          </cell>
          <cell r="C34">
            <v>75</v>
          </cell>
          <cell r="D34">
            <v>76</v>
          </cell>
          <cell r="E34" t="str">
            <v>ê</v>
          </cell>
          <cell r="F34">
            <v>74</v>
          </cell>
          <cell r="L34" t="str">
            <v>Perception Survey (Residential)</v>
          </cell>
          <cell r="M34" t="str">
            <v>H</v>
          </cell>
          <cell r="N34">
            <v>76</v>
          </cell>
          <cell r="O34">
            <v>76</v>
          </cell>
          <cell r="P34" t="str">
            <v>-</v>
          </cell>
          <cell r="Q34">
            <v>73</v>
          </cell>
          <cell r="V34" t="str">
            <v>M</v>
          </cell>
        </row>
        <row r="35">
          <cell r="A35" t="str">
            <v>Perception Survey (Small Business)</v>
          </cell>
          <cell r="B35" t="str">
            <v>H</v>
          </cell>
          <cell r="C35">
            <v>76</v>
          </cell>
          <cell r="D35">
            <v>77</v>
          </cell>
          <cell r="E35" t="str">
            <v>ê</v>
          </cell>
          <cell r="F35">
            <v>75</v>
          </cell>
          <cell r="L35" t="str">
            <v>Perception Survey (Small Business)</v>
          </cell>
          <cell r="M35" t="str">
            <v>H</v>
          </cell>
          <cell r="N35">
            <v>74</v>
          </cell>
          <cell r="O35">
            <v>77</v>
          </cell>
          <cell r="P35" t="str">
            <v>-</v>
          </cell>
          <cell r="Q35">
            <v>74</v>
          </cell>
          <cell r="V35" t="str">
            <v>M</v>
          </cell>
        </row>
        <row r="36">
          <cell r="A36" t="str">
            <v>Perception Survey (Large Business)</v>
          </cell>
          <cell r="B36" t="str">
            <v>H</v>
          </cell>
          <cell r="C36">
            <v>8.9</v>
          </cell>
          <cell r="D36">
            <v>77</v>
          </cell>
          <cell r="E36" t="str">
            <v>ê</v>
          </cell>
          <cell r="F36">
            <v>8.6999999999999993</v>
          </cell>
          <cell r="G36">
            <v>75</v>
          </cell>
          <cell r="H36">
            <v>0</v>
          </cell>
          <cell r="I36">
            <v>0</v>
          </cell>
          <cell r="L36" t="str">
            <v>Perception Survey (Large Business)</v>
          </cell>
          <cell r="M36" t="str">
            <v>H</v>
          </cell>
          <cell r="N36">
            <v>8.9</v>
          </cell>
          <cell r="O36">
            <v>77</v>
          </cell>
          <cell r="P36" t="str">
            <v>-</v>
          </cell>
          <cell r="Q36">
            <v>8.6999999999999993</v>
          </cell>
          <cell r="R36">
            <v>74</v>
          </cell>
          <cell r="S36">
            <v>0</v>
          </cell>
          <cell r="T36">
            <v>0</v>
          </cell>
          <cell r="V36" t="str">
            <v>Q</v>
          </cell>
        </row>
        <row r="37">
          <cell r="A37" t="str">
            <v>Moment of Truth Survey</v>
          </cell>
          <cell r="B37" t="str">
            <v>H</v>
          </cell>
          <cell r="C37">
            <v>8.5</v>
          </cell>
          <cell r="D37">
            <v>8.6</v>
          </cell>
          <cell r="E37" t="str">
            <v>ê</v>
          </cell>
          <cell r="F37">
            <v>8.4</v>
          </cell>
          <cell r="G37">
            <v>8.1</v>
          </cell>
          <cell r="H37">
            <v>9.1</v>
          </cell>
          <cell r="I37">
            <v>8.76</v>
          </cell>
          <cell r="L37" t="str">
            <v>Moment of Truth Survey</v>
          </cell>
          <cell r="M37" t="str">
            <v>H</v>
          </cell>
          <cell r="N37">
            <v>8.5</v>
          </cell>
          <cell r="O37">
            <v>8.6</v>
          </cell>
          <cell r="P37" t="str">
            <v>-</v>
          </cell>
          <cell r="Q37">
            <v>8.4</v>
          </cell>
          <cell r="R37" t="str">
            <v>Quarterly</v>
          </cell>
          <cell r="S37">
            <v>9.1999999999999993</v>
          </cell>
          <cell r="T37">
            <v>8.65</v>
          </cell>
          <cell r="V37" t="str">
            <v>Q</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PSE&amp;G"/>
      <sheetName val="Definitions"/>
    </sheetNames>
    <sheetDataSet>
      <sheetData sheetId="0" refreshError="1"/>
      <sheetData sheetId="1" refreshError="1">
        <row r="8">
          <cell r="A8" t="str">
            <v>OSHA Recordable Incidence Rate</v>
          </cell>
          <cell r="B8" t="str">
            <v>L</v>
          </cell>
          <cell r="C8">
            <v>2.2718688677289545</v>
          </cell>
          <cell r="D8">
            <v>1.8</v>
          </cell>
          <cell r="E8" t="str">
            <v>çè</v>
          </cell>
          <cell r="F8">
            <v>1.9</v>
          </cell>
          <cell r="G8">
            <v>0.39</v>
          </cell>
          <cell r="H8">
            <v>2.97</v>
          </cell>
          <cell r="I8">
            <v>1.9961961373604742</v>
          </cell>
          <cell r="J8">
            <v>0</v>
          </cell>
          <cell r="L8" t="str">
            <v>OSHA Recordable Incidence Rate</v>
          </cell>
          <cell r="M8" t="str">
            <v>L</v>
          </cell>
          <cell r="N8">
            <v>2.4071057762514942</v>
          </cell>
          <cell r="O8">
            <v>1.8</v>
          </cell>
          <cell r="P8" t="str">
            <v>+</v>
          </cell>
          <cell r="Q8">
            <v>1.43</v>
          </cell>
          <cell r="R8">
            <v>0</v>
          </cell>
          <cell r="S8">
            <v>1.99</v>
          </cell>
          <cell r="T8">
            <v>1.8769825628319914</v>
          </cell>
          <cell r="U8">
            <v>0</v>
          </cell>
          <cell r="V8" t="str">
            <v>ê</v>
          </cell>
          <cell r="W8" t="str">
            <v>é</v>
          </cell>
          <cell r="Y8" t="str">
            <v>M</v>
          </cell>
          <cell r="Z8" t="str">
            <v>O</v>
          </cell>
        </row>
        <row r="9">
          <cell r="A9" t="str">
            <v>OSHA Days Away Rate (Severity)</v>
          </cell>
          <cell r="B9" t="str">
            <v>L</v>
          </cell>
          <cell r="C9">
            <v>2.2718688677289545</v>
          </cell>
          <cell r="D9">
            <v>7.94</v>
          </cell>
          <cell r="E9" t="str">
            <v>çè</v>
          </cell>
          <cell r="F9">
            <v>7.98</v>
          </cell>
          <cell r="G9">
            <v>0</v>
          </cell>
          <cell r="H9">
            <v>11.6</v>
          </cell>
          <cell r="I9">
            <v>9.9809806868023703</v>
          </cell>
          <cell r="J9">
            <v>0</v>
          </cell>
          <cell r="L9" t="str">
            <v>OSHA Days Away Rate (Severity)</v>
          </cell>
          <cell r="M9" t="str">
            <v>L</v>
          </cell>
          <cell r="N9">
            <v>0.40118429604191574</v>
          </cell>
          <cell r="O9">
            <v>7.94</v>
          </cell>
          <cell r="P9" t="str">
            <v>-</v>
          </cell>
          <cell r="Q9">
            <v>14.1</v>
          </cell>
          <cell r="R9">
            <v>0</v>
          </cell>
          <cell r="S9">
            <v>18.54</v>
          </cell>
          <cell r="T9">
            <v>19.23907126902791</v>
          </cell>
          <cell r="U9">
            <v>0</v>
          </cell>
          <cell r="V9" t="str">
            <v>ê</v>
          </cell>
          <cell r="W9" t="str">
            <v>ê</v>
          </cell>
          <cell r="Y9" t="str">
            <v>M</v>
          </cell>
          <cell r="Z9" t="str">
            <v>O</v>
          </cell>
        </row>
        <row r="10">
          <cell r="A10" t="str">
            <v>Motor Vehicle Accident Rate</v>
          </cell>
          <cell r="B10" t="str">
            <v>L</v>
          </cell>
          <cell r="C10">
            <v>6.7137858391834442</v>
          </cell>
          <cell r="D10">
            <v>3.42</v>
          </cell>
          <cell r="E10" t="str">
            <v>é</v>
          </cell>
          <cell r="F10">
            <v>3.99</v>
          </cell>
          <cell r="G10">
            <v>6.1</v>
          </cell>
          <cell r="H10">
            <v>2.5299999999999998</v>
          </cell>
          <cell r="I10">
            <v>5.2058151558198089</v>
          </cell>
          <cell r="J10">
            <v>0</v>
          </cell>
          <cell r="L10" t="str">
            <v>Motor Vehicle Accident Rate</v>
          </cell>
          <cell r="M10" t="str">
            <v>L</v>
          </cell>
          <cell r="N10">
            <v>6.7909528411083038</v>
          </cell>
          <cell r="O10">
            <v>3.42</v>
          </cell>
          <cell r="P10" t="str">
            <v>-</v>
          </cell>
          <cell r="Q10">
            <v>3.77</v>
          </cell>
          <cell r="R10">
            <v>9.82</v>
          </cell>
          <cell r="S10">
            <v>1.04</v>
          </cell>
          <cell r="T10">
            <v>5.2177973851008401</v>
          </cell>
          <cell r="U10">
            <v>0</v>
          </cell>
          <cell r="V10" t="str">
            <v>ê</v>
          </cell>
          <cell r="W10" t="str">
            <v>é</v>
          </cell>
          <cell r="Y10" t="str">
            <v>M</v>
          </cell>
          <cell r="Z10" t="str">
            <v>O</v>
          </cell>
        </row>
        <row r="11">
          <cell r="A11" t="str">
            <v>Staffing Levels - Permanent</v>
          </cell>
          <cell r="B11" t="str">
            <v>L</v>
          </cell>
          <cell r="C11">
            <v>6102</v>
          </cell>
          <cell r="D11">
            <v>6271</v>
          </cell>
          <cell r="E11" t="str">
            <v>é</v>
          </cell>
          <cell r="F11">
            <v>6297</v>
          </cell>
          <cell r="G11">
            <v>1586</v>
          </cell>
          <cell r="H11">
            <v>1988</v>
          </cell>
          <cell r="I11">
            <v>2659</v>
          </cell>
          <cell r="J11">
            <v>63</v>
          </cell>
          <cell r="L11" t="str">
            <v>Staffing Levels - Permanent</v>
          </cell>
          <cell r="M11" t="str">
            <v>L</v>
          </cell>
          <cell r="P11" t="str">
            <v xml:space="preserve"> </v>
          </cell>
          <cell r="V11" t="str">
            <v>ê</v>
          </cell>
          <cell r="W11" t="str">
            <v>ê</v>
          </cell>
          <cell r="Y11" t="str">
            <v>M</v>
          </cell>
          <cell r="Z11" t="str">
            <v>O</v>
          </cell>
        </row>
        <row r="12">
          <cell r="A12" t="str">
            <v>Availability - Illness</v>
          </cell>
          <cell r="B12" t="str">
            <v>H</v>
          </cell>
          <cell r="C12">
            <v>0.95840000000000003</v>
          </cell>
          <cell r="D12">
            <v>0.97299999999999998</v>
          </cell>
          <cell r="E12" t="str">
            <v>é</v>
          </cell>
          <cell r="F12">
            <v>0.96047586550000008</v>
          </cell>
          <cell r="G12">
            <v>0.95499999999999996</v>
          </cell>
          <cell r="H12">
            <v>0.96299999999999997</v>
          </cell>
          <cell r="I12">
            <v>0.96104863526953177</v>
          </cell>
          <cell r="J12">
            <v>0.98499999999999999</v>
          </cell>
          <cell r="L12" t="str">
            <v>Availability - Illness</v>
          </cell>
          <cell r="M12" t="str">
            <v>H</v>
          </cell>
          <cell r="N12">
            <v>0.95444600000000002</v>
          </cell>
          <cell r="O12">
            <v>0.97299999999999998</v>
          </cell>
          <cell r="P12" t="str">
            <v>-</v>
          </cell>
          <cell r="Q12">
            <v>0.96038567641000006</v>
          </cell>
          <cell r="R12">
            <v>0.95599999999999996</v>
          </cell>
          <cell r="S12">
            <v>0.96399999999999997</v>
          </cell>
          <cell r="T12">
            <v>0.95992020081240836</v>
          </cell>
          <cell r="U12">
            <v>0.98499999999999999</v>
          </cell>
          <cell r="V12" t="str">
            <v>ê</v>
          </cell>
          <cell r="W12" t="str">
            <v>é</v>
          </cell>
          <cell r="Y12" t="str">
            <v>M</v>
          </cell>
          <cell r="Z12" t="str">
            <v>O</v>
          </cell>
        </row>
        <row r="13">
          <cell r="A13" t="str">
            <v>Succession Planning</v>
          </cell>
          <cell r="B13" t="str">
            <v>H</v>
          </cell>
          <cell r="D13">
            <v>0.63</v>
          </cell>
          <cell r="E13" t="str">
            <v>é</v>
          </cell>
          <cell r="F13" t="str">
            <v>Qtrly</v>
          </cell>
          <cell r="L13" t="str">
            <v>Succession Planning</v>
          </cell>
          <cell r="M13" t="str">
            <v>H</v>
          </cell>
          <cell r="O13">
            <v>0.63</v>
          </cell>
          <cell r="P13" t="str">
            <v>o</v>
          </cell>
          <cell r="Q13" t="str">
            <v>Qtrly</v>
          </cell>
          <cell r="V13" t="str">
            <v/>
          </cell>
          <cell r="W13" t="str">
            <v/>
          </cell>
          <cell r="Y13" t="str">
            <v>Q</v>
          </cell>
          <cell r="Z13" t="str">
            <v>N</v>
          </cell>
        </row>
        <row r="14">
          <cell r="A14" t="str">
            <v>Corporate Culture for Ethics and Compliance</v>
          </cell>
          <cell r="B14" t="str">
            <v>H</v>
          </cell>
          <cell r="C14" t="str">
            <v>Qtrly</v>
          </cell>
          <cell r="D14">
            <v>0.66</v>
          </cell>
          <cell r="E14" t="str">
            <v>é</v>
          </cell>
          <cell r="F14" t="str">
            <v>Qtrly</v>
          </cell>
          <cell r="G14" t="str">
            <v>Qtrly</v>
          </cell>
          <cell r="H14" t="str">
            <v>Qtrly</v>
          </cell>
          <cell r="I14" t="str">
            <v>Qtrly</v>
          </cell>
          <cell r="J14" t="str">
            <v>Qtrly</v>
          </cell>
          <cell r="L14" t="str">
            <v>Corporate Culture for Ethics and Compliance</v>
          </cell>
          <cell r="M14" t="str">
            <v>H</v>
          </cell>
          <cell r="N14" t="str">
            <v>Qtrly</v>
          </cell>
          <cell r="O14">
            <v>0.66</v>
          </cell>
          <cell r="P14" t="str">
            <v>o</v>
          </cell>
          <cell r="Q14" t="str">
            <v>Qtrly</v>
          </cell>
          <cell r="V14" t="str">
            <v/>
          </cell>
          <cell r="W14" t="str">
            <v/>
          </cell>
          <cell r="Y14" t="str">
            <v>Q</v>
          </cell>
          <cell r="Z14" t="str">
            <v>O</v>
          </cell>
        </row>
        <row r="15">
          <cell r="A15" t="str">
            <v>Employee Development - MAST</v>
          </cell>
          <cell r="B15" t="str">
            <v>H</v>
          </cell>
          <cell r="C15" t="str">
            <v>Qtrly</v>
          </cell>
          <cell r="D15">
            <v>0.95</v>
          </cell>
          <cell r="E15" t="str">
            <v>é</v>
          </cell>
          <cell r="F15" t="str">
            <v>Qtrly</v>
          </cell>
          <cell r="G15" t="str">
            <v>Qtrly</v>
          </cell>
          <cell r="H15" t="str">
            <v>Qtrly</v>
          </cell>
          <cell r="I15" t="str">
            <v>Qtrly</v>
          </cell>
          <cell r="J15" t="str">
            <v>Qtrly</v>
          </cell>
          <cell r="L15" t="str">
            <v>Employee Development - MAST</v>
          </cell>
          <cell r="M15" t="str">
            <v>H</v>
          </cell>
          <cell r="N15" t="str">
            <v>Qtrly</v>
          </cell>
          <cell r="O15">
            <v>0.95</v>
          </cell>
          <cell r="P15" t="str">
            <v>o</v>
          </cell>
          <cell r="Q15" t="str">
            <v>Qtrly</v>
          </cell>
          <cell r="R15" t="str">
            <v>Qtrly</v>
          </cell>
          <cell r="S15" t="str">
            <v>Qtrly</v>
          </cell>
          <cell r="T15" t="str">
            <v>Qtrly</v>
          </cell>
          <cell r="U15" t="str">
            <v>Qtrly</v>
          </cell>
          <cell r="V15" t="str">
            <v/>
          </cell>
          <cell r="W15" t="str">
            <v/>
          </cell>
          <cell r="Y15" t="str">
            <v>Q</v>
          </cell>
          <cell r="Z15" t="str">
            <v>O</v>
          </cell>
        </row>
        <row r="16">
          <cell r="A16" t="str">
            <v>Employee Technical Training - BU</v>
          </cell>
          <cell r="B16" t="str">
            <v>H</v>
          </cell>
          <cell r="C16" t="str">
            <v>Qtrly</v>
          </cell>
          <cell r="D16">
            <v>1</v>
          </cell>
          <cell r="E16" t="str">
            <v>é</v>
          </cell>
          <cell r="F16" t="str">
            <v>Qtrly</v>
          </cell>
          <cell r="G16" t="str">
            <v>Qtrly</v>
          </cell>
          <cell r="H16" t="str">
            <v>Qtrly</v>
          </cell>
          <cell r="I16" t="str">
            <v>Qtrly</v>
          </cell>
          <cell r="J16" t="str">
            <v>Qtrly</v>
          </cell>
          <cell r="L16" t="str">
            <v>Employee Technical Training - BU</v>
          </cell>
          <cell r="M16" t="str">
            <v>H</v>
          </cell>
          <cell r="N16" t="str">
            <v>Qtrly</v>
          </cell>
          <cell r="O16">
            <v>1</v>
          </cell>
          <cell r="P16" t="str">
            <v>o</v>
          </cell>
          <cell r="Q16" t="str">
            <v>Qtrly</v>
          </cell>
          <cell r="R16" t="str">
            <v>Qtrly</v>
          </cell>
          <cell r="S16" t="str">
            <v>Qtrly</v>
          </cell>
          <cell r="T16" t="str">
            <v>Qtrly</v>
          </cell>
          <cell r="U16" t="str">
            <v>Qtrly</v>
          </cell>
          <cell r="V16" t="str">
            <v/>
          </cell>
          <cell r="W16" t="str">
            <v/>
          </cell>
          <cell r="Y16" t="str">
            <v>Q</v>
          </cell>
          <cell r="Z16" t="str">
            <v>O</v>
          </cell>
        </row>
        <row r="17">
          <cell r="A17" t="str">
            <v>Fringe Benefit Rate</v>
          </cell>
          <cell r="B17" t="str">
            <v>L</v>
          </cell>
          <cell r="C17" t="str">
            <v>Qtrly</v>
          </cell>
          <cell r="D17">
            <v>0.49199999999999999</v>
          </cell>
          <cell r="E17" t="str">
            <v>é</v>
          </cell>
          <cell r="F17" t="str">
            <v>Qtrly</v>
          </cell>
          <cell r="L17" t="str">
            <v>Fringe Benefit Rate</v>
          </cell>
          <cell r="M17" t="str">
            <v>L</v>
          </cell>
          <cell r="O17">
            <v>0.49199999999999999</v>
          </cell>
          <cell r="P17" t="str">
            <v>o</v>
          </cell>
          <cell r="Q17" t="str">
            <v>Qtrly</v>
          </cell>
          <cell r="V17" t="str">
            <v/>
          </cell>
          <cell r="W17" t="str">
            <v/>
          </cell>
          <cell r="Y17" t="str">
            <v>Q</v>
          </cell>
          <cell r="Z17" t="str">
            <v>O</v>
          </cell>
        </row>
        <row r="19">
          <cell r="A19" t="str">
            <v>SAFE, RELIABLE</v>
          </cell>
          <cell r="B19" t="str">
            <v>PSE&amp;G</v>
          </cell>
          <cell r="L19" t="str">
            <v>SAFE, RELIABLE</v>
          </cell>
          <cell r="M19" t="str">
            <v>PSE&amp;G</v>
          </cell>
        </row>
        <row r="20">
          <cell r="B20" t="str">
            <v>L/H</v>
          </cell>
          <cell r="C20" t="str">
            <v>Feb 08 YTD</v>
          </cell>
          <cell r="D20" t="str">
            <v>2009 Target</v>
          </cell>
          <cell r="E20" t="str">
            <v>YE Forecast</v>
          </cell>
          <cell r="F20" t="str">
            <v>PSE&amp;G</v>
          </cell>
          <cell r="G20" t="str">
            <v>Cust Ops</v>
          </cell>
          <cell r="H20" t="str">
            <v>Gas</v>
          </cell>
          <cell r="I20" t="str">
            <v>Electric</v>
          </cell>
          <cell r="J20" t="str">
            <v>Other</v>
          </cell>
          <cell r="M20" t="str">
            <v>L/H</v>
          </cell>
          <cell r="N20" t="str">
            <v>Feb 08</v>
          </cell>
          <cell r="O20" t="str">
            <v>2009 Target</v>
          </cell>
          <cell r="P20" t="str">
            <v>Monthly / Quarterly Status</v>
          </cell>
          <cell r="Q20" t="str">
            <v>PSE&amp;G</v>
          </cell>
          <cell r="R20" t="str">
            <v>Cust Ops</v>
          </cell>
          <cell r="S20" t="str">
            <v>Gas</v>
          </cell>
          <cell r="T20" t="str">
            <v>Electric</v>
          </cell>
          <cell r="U20" t="str">
            <v>Other</v>
          </cell>
        </row>
        <row r="21">
          <cell r="A21" t="str">
            <v>SAIFI</v>
          </cell>
          <cell r="B21" t="str">
            <v>L</v>
          </cell>
          <cell r="C21">
            <v>7.0000000000000007E-2</v>
          </cell>
          <cell r="D21">
            <v>0.72</v>
          </cell>
          <cell r="E21" t="str">
            <v>é</v>
          </cell>
          <cell r="F21">
            <v>0.1</v>
          </cell>
          <cell r="I21">
            <v>0.1</v>
          </cell>
          <cell r="L21" t="str">
            <v>SAIFI</v>
          </cell>
          <cell r="M21" t="str">
            <v>L</v>
          </cell>
          <cell r="N21">
            <v>0.04</v>
          </cell>
          <cell r="O21">
            <v>4.2691480792882201E-2</v>
          </cell>
          <cell r="P21" t="str">
            <v>+</v>
          </cell>
          <cell r="Q21">
            <v>0.06</v>
          </cell>
          <cell r="T21">
            <v>0.04</v>
          </cell>
          <cell r="V21" t="str">
            <v>é</v>
          </cell>
          <cell r="W21" t="str">
            <v>ê</v>
          </cell>
          <cell r="Y21" t="str">
            <v>M</v>
          </cell>
          <cell r="Z21" t="str">
            <v>O</v>
          </cell>
        </row>
        <row r="22">
          <cell r="A22" t="str">
            <v>MAIFI</v>
          </cell>
          <cell r="B22" t="str">
            <v>L</v>
          </cell>
          <cell r="C22">
            <v>0.12</v>
          </cell>
          <cell r="D22">
            <v>1.25</v>
          </cell>
          <cell r="E22" t="str">
            <v>é</v>
          </cell>
          <cell r="F22">
            <v>0.16</v>
          </cell>
          <cell r="I22">
            <v>0.16</v>
          </cell>
          <cell r="L22" t="str">
            <v>MAIFI</v>
          </cell>
          <cell r="M22" t="str">
            <v>L</v>
          </cell>
          <cell r="N22">
            <v>0.06</v>
          </cell>
          <cell r="O22">
            <v>6.6449275362318858E-2</v>
          </cell>
          <cell r="P22" t="str">
            <v>-</v>
          </cell>
          <cell r="Q22">
            <v>0.09</v>
          </cell>
          <cell r="T22">
            <v>7.0000000000000007E-2</v>
          </cell>
          <cell r="V22" t="str">
            <v>é</v>
          </cell>
          <cell r="W22" t="str">
            <v>ê</v>
          </cell>
          <cell r="Y22" t="str">
            <v>M</v>
          </cell>
          <cell r="Z22" t="str">
            <v>O</v>
          </cell>
        </row>
        <row r="23">
          <cell r="A23" t="str">
            <v>CAIDI</v>
          </cell>
          <cell r="B23" t="str">
            <v>L</v>
          </cell>
          <cell r="C23">
            <v>63.1</v>
          </cell>
          <cell r="D23">
            <v>66.5</v>
          </cell>
          <cell r="E23" t="str">
            <v>é</v>
          </cell>
          <cell r="F23">
            <v>65.400000000000006</v>
          </cell>
          <cell r="I23">
            <v>65.400000000000006</v>
          </cell>
          <cell r="L23" t="str">
            <v>CAIDI</v>
          </cell>
          <cell r="M23" t="str">
            <v>L</v>
          </cell>
          <cell r="N23">
            <v>66.599999999999994</v>
          </cell>
          <cell r="O23">
            <v>61.148717621805211</v>
          </cell>
          <cell r="P23" t="str">
            <v>-</v>
          </cell>
          <cell r="Q23">
            <v>75.7</v>
          </cell>
          <cell r="T23">
            <v>52.21</v>
          </cell>
          <cell r="V23" t="str">
            <v>é</v>
          </cell>
          <cell r="W23" t="str">
            <v>ê</v>
          </cell>
          <cell r="Y23" t="str">
            <v>M</v>
          </cell>
          <cell r="Z23" t="str">
            <v>O</v>
          </cell>
        </row>
        <row r="24">
          <cell r="A24" t="str">
            <v>CEMI</v>
          </cell>
          <cell r="B24" t="str">
            <v>L</v>
          </cell>
          <cell r="C24">
            <v>0</v>
          </cell>
          <cell r="D24">
            <v>2.3E-2</v>
          </cell>
          <cell r="E24" t="str">
            <v>é</v>
          </cell>
          <cell r="F24">
            <v>0</v>
          </cell>
          <cell r="I24">
            <v>0</v>
          </cell>
          <cell r="L24" t="str">
            <v>CEMI</v>
          </cell>
          <cell r="M24" t="str">
            <v>L</v>
          </cell>
          <cell r="N24">
            <v>0</v>
          </cell>
          <cell r="O24">
            <v>0</v>
          </cell>
          <cell r="P24" t="str">
            <v>+</v>
          </cell>
          <cell r="Q24">
            <v>0</v>
          </cell>
          <cell r="T24">
            <v>0</v>
          </cell>
          <cell r="V24" t="str">
            <v>é</v>
          </cell>
          <cell r="W24" t="str">
            <v>é</v>
          </cell>
          <cell r="Y24" t="str">
            <v>M</v>
          </cell>
          <cell r="Z24" t="str">
            <v>O</v>
          </cell>
        </row>
        <row r="25">
          <cell r="A25" t="str">
            <v>Gas Leak Reports per Mile</v>
          </cell>
          <cell r="B25" t="str">
            <v>L</v>
          </cell>
          <cell r="C25">
            <v>3.2000000000000001E-2</v>
          </cell>
          <cell r="D25">
            <v>0.222</v>
          </cell>
          <cell r="E25" t="str">
            <v>çè</v>
          </cell>
          <cell r="F25">
            <v>3.5000000000000003E-2</v>
          </cell>
          <cell r="H25">
            <v>3.4910693509284683E-2</v>
          </cell>
          <cell r="L25" t="str">
            <v>Gas Leak Reports per Mile</v>
          </cell>
          <cell r="M25" t="str">
            <v>L</v>
          </cell>
          <cell r="N25">
            <v>1.4999999999999999E-2</v>
          </cell>
          <cell r="O25">
            <v>1.7603531999999998E-2</v>
          </cell>
          <cell r="P25" t="str">
            <v>+</v>
          </cell>
          <cell r="Q25">
            <v>1.2999999999999999E-2</v>
          </cell>
          <cell r="S25">
            <v>1.340477380156173E-2</v>
          </cell>
          <cell r="V25" t="str">
            <v>é</v>
          </cell>
          <cell r="W25" t="str">
            <v>ê</v>
          </cell>
          <cell r="Y25" t="str">
            <v>M</v>
          </cell>
          <cell r="Z25" t="str">
            <v>O</v>
          </cell>
        </row>
        <row r="26">
          <cell r="A26" t="str">
            <v>Damages per 1,000 Locate Requests</v>
          </cell>
          <cell r="B26" t="str">
            <v>L</v>
          </cell>
          <cell r="C26">
            <v>1.97</v>
          </cell>
          <cell r="D26">
            <v>1.97</v>
          </cell>
          <cell r="E26" t="str">
            <v>é</v>
          </cell>
          <cell r="F26">
            <v>1.21</v>
          </cell>
          <cell r="H26">
            <v>1.2072757195604744</v>
          </cell>
          <cell r="L26" t="str">
            <v>Damages per 1,000 Locate Requests</v>
          </cell>
          <cell r="M26" t="str">
            <v>L</v>
          </cell>
          <cell r="N26">
            <v>1.94</v>
          </cell>
          <cell r="O26">
            <v>1.97</v>
          </cell>
          <cell r="P26" t="str">
            <v>+</v>
          </cell>
          <cell r="Q26">
            <v>1.04</v>
          </cell>
          <cell r="S26">
            <v>1.0389903870661283</v>
          </cell>
          <cell r="V26" t="str">
            <v>é</v>
          </cell>
          <cell r="W26" t="str">
            <v>é</v>
          </cell>
          <cell r="Y26" t="str">
            <v>M</v>
          </cell>
          <cell r="Z26" t="str">
            <v>O</v>
          </cell>
        </row>
        <row r="27">
          <cell r="A27" t="str">
            <v>Leak Response Rate</v>
          </cell>
          <cell r="B27" t="str">
            <v>H</v>
          </cell>
          <cell r="C27">
            <v>0.999</v>
          </cell>
          <cell r="D27">
            <v>0.99900000000000011</v>
          </cell>
          <cell r="E27" t="str">
            <v>é</v>
          </cell>
          <cell r="F27">
            <v>0.999</v>
          </cell>
          <cell r="H27">
            <v>0.999</v>
          </cell>
          <cell r="L27" t="str">
            <v>Leak Response Rate</v>
          </cell>
          <cell r="M27" t="str">
            <v>H</v>
          </cell>
          <cell r="N27">
            <v>0.999</v>
          </cell>
          <cell r="O27">
            <v>0.99900000000000011</v>
          </cell>
          <cell r="P27" t="str">
            <v>+</v>
          </cell>
          <cell r="Q27">
            <v>0.999</v>
          </cell>
          <cell r="S27">
            <v>0.999</v>
          </cell>
          <cell r="V27" t="str">
            <v>é</v>
          </cell>
          <cell r="W27" t="str">
            <v>é</v>
          </cell>
          <cell r="Y27" t="str">
            <v>M</v>
          </cell>
          <cell r="Z27" t="str">
            <v>O</v>
          </cell>
        </row>
        <row r="28">
          <cell r="A28" t="str">
            <v>Fix It Right</v>
          </cell>
          <cell r="B28" t="str">
            <v>H</v>
          </cell>
          <cell r="C28">
            <v>0.84299999999999997</v>
          </cell>
          <cell r="D28" t="str">
            <v>N/A</v>
          </cell>
          <cell r="E28" t="str">
            <v>N/A</v>
          </cell>
          <cell r="F28">
            <v>0.83082981275752354</v>
          </cell>
          <cell r="H28">
            <v>0.83099999999999996</v>
          </cell>
          <cell r="L28" t="str">
            <v>Fix It Right</v>
          </cell>
          <cell r="M28" t="str">
            <v>H</v>
          </cell>
          <cell r="N28">
            <v>0.84699999999999998</v>
          </cell>
          <cell r="O28" t="str">
            <v>N/A</v>
          </cell>
          <cell r="P28" t="str">
            <v>N/A</v>
          </cell>
          <cell r="Q28">
            <v>0.83671658815825611</v>
          </cell>
          <cell r="S28">
            <v>0.83699999999999997</v>
          </cell>
          <cell r="V28" t="str">
            <v/>
          </cell>
          <cell r="W28" t="str">
            <v>ê</v>
          </cell>
          <cell r="Y28" t="str">
            <v>M</v>
          </cell>
          <cell r="Z28" t="str">
            <v>O</v>
          </cell>
        </row>
        <row r="29">
          <cell r="A29" t="str">
            <v>Percent of Actual Meters Read</v>
          </cell>
          <cell r="B29" t="str">
            <v>H</v>
          </cell>
          <cell r="C29">
            <v>0.89900000000000002</v>
          </cell>
          <cell r="D29">
            <v>0.90100000000000002</v>
          </cell>
          <cell r="E29" t="str">
            <v>é</v>
          </cell>
          <cell r="F29">
            <v>0.879</v>
          </cell>
          <cell r="G29">
            <v>0.879</v>
          </cell>
          <cell r="L29" t="str">
            <v>Percent of Actual Meters Read</v>
          </cell>
          <cell r="M29" t="str">
            <v>H</v>
          </cell>
          <cell r="N29">
            <v>0.89200000000000002</v>
          </cell>
          <cell r="O29">
            <v>0.90100000000000002</v>
          </cell>
          <cell r="P29" t="str">
            <v>-</v>
          </cell>
          <cell r="Q29">
            <v>0.88300000000000001</v>
          </cell>
          <cell r="R29">
            <v>0.88300000000000001</v>
          </cell>
          <cell r="V29" t="str">
            <v>ê</v>
          </cell>
          <cell r="W29" t="str">
            <v>ê</v>
          </cell>
          <cell r="Y29" t="str">
            <v>M</v>
          </cell>
          <cell r="Z29" t="str">
            <v>O</v>
          </cell>
        </row>
        <row r="30">
          <cell r="A30" t="str">
            <v>Gen'l Inquiry Service Level (30 sec.)</v>
          </cell>
          <cell r="B30" t="str">
            <v>H</v>
          </cell>
          <cell r="C30">
            <v>0.76800000000000002</v>
          </cell>
          <cell r="D30">
            <v>0.51</v>
          </cell>
          <cell r="E30" t="str">
            <v>é</v>
          </cell>
          <cell r="F30">
            <v>0.66100000000000003</v>
          </cell>
          <cell r="G30">
            <v>0.66100000000000003</v>
          </cell>
          <cell r="L30" t="str">
            <v>Gen'l Inquiry Service Level (30 sec.)</v>
          </cell>
          <cell r="M30" t="str">
            <v>H</v>
          </cell>
          <cell r="N30">
            <v>0.748</v>
          </cell>
          <cell r="O30">
            <v>0.51</v>
          </cell>
          <cell r="P30" t="str">
            <v>+</v>
          </cell>
          <cell r="Q30">
            <v>0.627</v>
          </cell>
          <cell r="R30">
            <v>0.627</v>
          </cell>
          <cell r="V30" t="str">
            <v>é</v>
          </cell>
          <cell r="W30" t="str">
            <v>ê</v>
          </cell>
          <cell r="Y30" t="str">
            <v>M</v>
          </cell>
          <cell r="Z30" t="str">
            <v>O</v>
          </cell>
        </row>
        <row r="31">
          <cell r="A31" t="str">
            <v>First Contact Resolution</v>
          </cell>
          <cell r="B31" t="str">
            <v>H</v>
          </cell>
          <cell r="C31">
            <v>0.86599999999999999</v>
          </cell>
          <cell r="D31" t="str">
            <v>N/A</v>
          </cell>
          <cell r="E31" t="str">
            <v>é</v>
          </cell>
          <cell r="F31">
            <v>0.86299999999999999</v>
          </cell>
          <cell r="G31">
            <v>0.86299999999999999</v>
          </cell>
          <cell r="L31" t="str">
            <v>First Contact Resolution</v>
          </cell>
          <cell r="M31" t="str">
            <v>H</v>
          </cell>
          <cell r="N31">
            <v>0.86599999999999999</v>
          </cell>
          <cell r="O31" t="str">
            <v>N/A</v>
          </cell>
          <cell r="P31" t="str">
            <v>N/A</v>
          </cell>
          <cell r="Q31">
            <v>0.86599999999999999</v>
          </cell>
          <cell r="R31">
            <v>0.86599999999999999</v>
          </cell>
          <cell r="V31" t="str">
            <v/>
          </cell>
          <cell r="W31" t="str">
            <v>ê</v>
          </cell>
          <cell r="Y31" t="str">
            <v>M</v>
          </cell>
          <cell r="Z31" t="str">
            <v>O</v>
          </cell>
        </row>
        <row r="32">
          <cell r="A32" t="str">
            <v>BPU Inquiry Rate-Collection</v>
          </cell>
          <cell r="B32" t="str">
            <v>L</v>
          </cell>
          <cell r="C32">
            <v>0.81</v>
          </cell>
          <cell r="D32">
            <v>1.25</v>
          </cell>
          <cell r="E32" t="str">
            <v>é</v>
          </cell>
          <cell r="F32">
            <v>1.41</v>
          </cell>
          <cell r="G32">
            <v>1.41</v>
          </cell>
          <cell r="L32" t="str">
            <v>BPU Inquiry Rate-Collection</v>
          </cell>
          <cell r="M32" t="str">
            <v>L</v>
          </cell>
          <cell r="N32">
            <v>0.7</v>
          </cell>
          <cell r="O32">
            <v>1.25</v>
          </cell>
          <cell r="P32" t="str">
            <v>-</v>
          </cell>
          <cell r="Q32">
            <v>1.87</v>
          </cell>
          <cell r="R32">
            <v>1.87</v>
          </cell>
          <cell r="V32" t="str">
            <v>ê</v>
          </cell>
          <cell r="W32" t="str">
            <v>ê</v>
          </cell>
          <cell r="Y32" t="str">
            <v>M</v>
          </cell>
          <cell r="Z32" t="str">
            <v>C</v>
          </cell>
        </row>
        <row r="33">
          <cell r="A33" t="str">
            <v>BPU Inquiries - Non-Collection</v>
          </cell>
          <cell r="B33" t="str">
            <v>L</v>
          </cell>
          <cell r="C33">
            <v>223</v>
          </cell>
          <cell r="D33">
            <v>1500</v>
          </cell>
          <cell r="E33" t="str">
            <v>é</v>
          </cell>
          <cell r="F33">
            <v>448</v>
          </cell>
          <cell r="G33">
            <v>346</v>
          </cell>
          <cell r="H33">
            <v>48</v>
          </cell>
          <cell r="I33">
            <v>24</v>
          </cell>
          <cell r="J33">
            <v>30</v>
          </cell>
          <cell r="L33" t="str">
            <v>BPU Inquiries - Non-Collection</v>
          </cell>
          <cell r="M33" t="str">
            <v>L</v>
          </cell>
          <cell r="N33">
            <v>103</v>
          </cell>
          <cell r="O33" t="str">
            <v>N/A</v>
          </cell>
          <cell r="P33" t="str">
            <v>N/A</v>
          </cell>
          <cell r="Q33">
            <v>270</v>
          </cell>
          <cell r="R33">
            <v>210</v>
          </cell>
          <cell r="S33">
            <v>33</v>
          </cell>
          <cell r="T33">
            <v>11</v>
          </cell>
          <cell r="U33">
            <v>14</v>
          </cell>
          <cell r="V33" t="str">
            <v>é</v>
          </cell>
          <cell r="W33" t="str">
            <v>ê</v>
          </cell>
          <cell r="Y33" t="str">
            <v>M</v>
          </cell>
          <cell r="Z33" t="str">
            <v>O</v>
          </cell>
        </row>
        <row r="34">
          <cell r="A34" t="str">
            <v>Perception Survey (Res/Sm Business)</v>
          </cell>
          <cell r="B34" t="str">
            <v>H</v>
          </cell>
          <cell r="C34">
            <v>74</v>
          </cell>
          <cell r="D34">
            <v>76</v>
          </cell>
          <cell r="E34" t="str">
            <v>é</v>
          </cell>
          <cell r="F34">
            <v>75</v>
          </cell>
          <cell r="L34" t="str">
            <v>Perception Survey (Res/Sm Business)</v>
          </cell>
          <cell r="M34" t="str">
            <v>H</v>
          </cell>
          <cell r="N34">
            <v>74</v>
          </cell>
          <cell r="O34">
            <v>76</v>
          </cell>
          <cell r="P34" t="str">
            <v>-</v>
          </cell>
          <cell r="Q34">
            <v>75</v>
          </cell>
          <cell r="V34" t="str">
            <v>ê</v>
          </cell>
          <cell r="W34" t="str">
            <v>é</v>
          </cell>
          <cell r="Y34" t="str">
            <v>M</v>
          </cell>
          <cell r="Z34" t="str">
            <v>O</v>
          </cell>
        </row>
        <row r="35">
          <cell r="A35" t="str">
            <v>Perception Survey (Large Business)</v>
          </cell>
          <cell r="B35" t="str">
            <v>H</v>
          </cell>
          <cell r="C35">
            <v>76</v>
          </cell>
          <cell r="D35">
            <v>77</v>
          </cell>
          <cell r="E35" t="str">
            <v>é</v>
          </cell>
          <cell r="F35">
            <v>73</v>
          </cell>
          <cell r="L35" t="str">
            <v>Perception Survey (Large Business)</v>
          </cell>
          <cell r="M35" t="str">
            <v>H</v>
          </cell>
          <cell r="N35">
            <v>76</v>
          </cell>
          <cell r="O35">
            <v>77</v>
          </cell>
          <cell r="P35" t="str">
            <v>-</v>
          </cell>
          <cell r="Q35">
            <v>73</v>
          </cell>
          <cell r="V35" t="str">
            <v>ê</v>
          </cell>
          <cell r="W35" t="str">
            <v>ê</v>
          </cell>
          <cell r="Y35" t="str">
            <v>M</v>
          </cell>
          <cell r="Z35" t="str">
            <v>O</v>
          </cell>
        </row>
        <row r="36">
          <cell r="A36" t="str">
            <v>Moment of Truth Survey</v>
          </cell>
          <cell r="B36" t="str">
            <v>H</v>
          </cell>
          <cell r="C36" t="str">
            <v>Qtrly</v>
          </cell>
          <cell r="D36">
            <v>9</v>
          </cell>
          <cell r="E36" t="str">
            <v>é</v>
          </cell>
          <cell r="F36" t="str">
            <v>Qtrly</v>
          </cell>
          <cell r="G36" t="str">
            <v>Qtrly</v>
          </cell>
          <cell r="H36" t="str">
            <v>Qtrly</v>
          </cell>
          <cell r="I36" t="str">
            <v>Qtrly</v>
          </cell>
          <cell r="L36" t="str">
            <v>Moment of Truth Survey</v>
          </cell>
          <cell r="M36" t="str">
            <v>H</v>
          </cell>
          <cell r="N36" t="str">
            <v>Qtrly</v>
          </cell>
          <cell r="O36">
            <v>9</v>
          </cell>
          <cell r="P36" t="str">
            <v>o</v>
          </cell>
          <cell r="Q36" t="str">
            <v>Qtrly</v>
          </cell>
          <cell r="R36" t="str">
            <v>Qtrly</v>
          </cell>
          <cell r="S36" t="str">
            <v>Qtrly</v>
          </cell>
          <cell r="T36" t="str">
            <v>Qtrly</v>
          </cell>
          <cell r="V36" t="str">
            <v/>
          </cell>
          <cell r="W36" t="str">
            <v/>
          </cell>
          <cell r="Y36" t="str">
            <v>Q</v>
          </cell>
          <cell r="Z36" t="str">
            <v>O</v>
          </cell>
        </row>
        <row r="37">
          <cell r="A37" t="str">
            <v>New Business Construction Survey</v>
          </cell>
          <cell r="B37" t="str">
            <v>H</v>
          </cell>
          <cell r="C37" t="str">
            <v>Qtrly</v>
          </cell>
          <cell r="D37">
            <v>8.6</v>
          </cell>
          <cell r="E37" t="str">
            <v>é</v>
          </cell>
          <cell r="F37" t="str">
            <v>Qtrly</v>
          </cell>
          <cell r="G37" t="str">
            <v>Qtrly</v>
          </cell>
          <cell r="H37" t="str">
            <v>Qtrly</v>
          </cell>
          <cell r="I37" t="str">
            <v>Qtrly</v>
          </cell>
          <cell r="L37" t="str">
            <v>New Business Construction Survey</v>
          </cell>
          <cell r="M37" t="str">
            <v>H</v>
          </cell>
          <cell r="N37" t="str">
            <v>Qtrly</v>
          </cell>
          <cell r="O37">
            <v>8.6</v>
          </cell>
          <cell r="P37" t="str">
            <v>o</v>
          </cell>
          <cell r="Q37" t="str">
            <v>Qtrly</v>
          </cell>
          <cell r="R37" t="str">
            <v>Qtrly</v>
          </cell>
          <cell r="S37" t="str">
            <v>Qtrly</v>
          </cell>
          <cell r="T37" t="str">
            <v>Qtrly</v>
          </cell>
          <cell r="V37" t="str">
            <v/>
          </cell>
          <cell r="W37" t="str">
            <v/>
          </cell>
          <cell r="Y37" t="str">
            <v>Q</v>
          </cell>
          <cell r="Z37" t="str">
            <v>O</v>
          </cell>
        </row>
        <row r="39">
          <cell r="A39" t="str">
            <v>ECONOMIC</v>
          </cell>
          <cell r="B39" t="str">
            <v>PSE&amp;G</v>
          </cell>
          <cell r="L39" t="str">
            <v>ECONOMIC</v>
          </cell>
          <cell r="M39" t="str">
            <v>PSE&amp;G</v>
          </cell>
        </row>
        <row r="40">
          <cell r="B40" t="str">
            <v>L/H</v>
          </cell>
          <cell r="C40" t="str">
            <v>Feb 08 YTD</v>
          </cell>
          <cell r="D40" t="str">
            <v>2009 Target</v>
          </cell>
          <cell r="E40" t="str">
            <v>YE Forecast</v>
          </cell>
          <cell r="F40" t="str">
            <v>PSE&amp;G</v>
          </cell>
          <cell r="G40" t="str">
            <v>Cust Ops</v>
          </cell>
          <cell r="H40" t="str">
            <v>Gas</v>
          </cell>
          <cell r="I40" t="str">
            <v>Electric</v>
          </cell>
          <cell r="J40" t="str">
            <v>Other</v>
          </cell>
          <cell r="M40" t="str">
            <v>L/H</v>
          </cell>
          <cell r="N40" t="str">
            <v>Feb 08</v>
          </cell>
          <cell r="O40" t="str">
            <v>2009 Target</v>
          </cell>
          <cell r="P40" t="str">
            <v>Monthly / Quarterly Status</v>
          </cell>
          <cell r="Q40" t="str">
            <v>PSE&amp;G</v>
          </cell>
          <cell r="R40" t="str">
            <v>Cust Ops</v>
          </cell>
          <cell r="S40" t="str">
            <v>Gas</v>
          </cell>
          <cell r="T40" t="str">
            <v>Electric</v>
          </cell>
          <cell r="U40" t="str">
            <v>Other</v>
          </cell>
        </row>
        <row r="41">
          <cell r="A41" t="str">
            <v>Total CapEx ($M)</v>
          </cell>
          <cell r="B41" t="str">
            <v>L</v>
          </cell>
          <cell r="C41">
            <v>97.8</v>
          </cell>
          <cell r="D41">
            <v>775.6</v>
          </cell>
          <cell r="E41" t="str">
            <v>é</v>
          </cell>
          <cell r="F41">
            <v>130.6</v>
          </cell>
          <cell r="G41">
            <v>12.3</v>
          </cell>
          <cell r="H41">
            <v>23.566223469999997</v>
          </cell>
          <cell r="I41">
            <v>94.696738999999994</v>
          </cell>
          <cell r="J41">
            <v>0</v>
          </cell>
          <cell r="L41" t="str">
            <v>Total CapEx ($M)</v>
          </cell>
          <cell r="M41" t="str">
            <v>L</v>
          </cell>
          <cell r="N41">
            <v>52.4</v>
          </cell>
          <cell r="O41">
            <v>68</v>
          </cell>
          <cell r="P41" t="str">
            <v>+</v>
          </cell>
          <cell r="Q41">
            <v>70.117122129999998</v>
          </cell>
          <cell r="R41">
            <v>7.1</v>
          </cell>
          <cell r="S41">
            <v>11.289068289999999</v>
          </cell>
          <cell r="T41">
            <v>51.745144000000003</v>
          </cell>
          <cell r="U41">
            <v>0</v>
          </cell>
          <cell r="V41" t="str">
            <v>é</v>
          </cell>
          <cell r="W41" t="str">
            <v>ê</v>
          </cell>
          <cell r="Y41" t="str">
            <v>M</v>
          </cell>
          <cell r="Z41" t="str">
            <v>O</v>
          </cell>
        </row>
        <row r="42">
          <cell r="A42" t="str">
            <v>Accountability O&amp;M ($M)</v>
          </cell>
          <cell r="B42" t="str">
            <v>L</v>
          </cell>
          <cell r="C42">
            <v>124</v>
          </cell>
          <cell r="D42">
            <v>784.5</v>
          </cell>
          <cell r="E42" t="str">
            <v>é</v>
          </cell>
          <cell r="F42">
            <v>127.39</v>
          </cell>
          <cell r="G42">
            <v>27.665000000000003</v>
          </cell>
          <cell r="H42">
            <v>43.884999999999998</v>
          </cell>
          <cell r="I42">
            <v>51.056058596400753</v>
          </cell>
          <cell r="J42">
            <v>4.7</v>
          </cell>
          <cell r="L42" t="str">
            <v>Accountability O&amp;M ($M)</v>
          </cell>
          <cell r="M42" t="str">
            <v>L</v>
          </cell>
          <cell r="N42">
            <v>60.8</v>
          </cell>
          <cell r="O42">
            <v>60.57</v>
          </cell>
          <cell r="P42" t="str">
            <v>-</v>
          </cell>
          <cell r="Q42">
            <v>60.91</v>
          </cell>
          <cell r="R42">
            <v>13.532000000000002</v>
          </cell>
          <cell r="S42">
            <v>20.233000000000001</v>
          </cell>
          <cell r="T42">
            <v>24.601637179702145</v>
          </cell>
          <cell r="U42">
            <v>2.6000000000000005</v>
          </cell>
          <cell r="V42" t="str">
            <v>é</v>
          </cell>
          <cell r="W42" t="str">
            <v>ê</v>
          </cell>
          <cell r="Y42" t="str">
            <v>M</v>
          </cell>
          <cell r="Z42" t="str">
            <v>O</v>
          </cell>
        </row>
        <row r="43">
          <cell r="A43" t="str">
            <v>Controllable O&amp;M ($M)</v>
          </cell>
          <cell r="B43" t="str">
            <v>L</v>
          </cell>
          <cell r="C43">
            <v>77.5</v>
          </cell>
          <cell r="D43">
            <v>991.4</v>
          </cell>
          <cell r="E43" t="str">
            <v>é</v>
          </cell>
          <cell r="F43">
            <v>158.5</v>
          </cell>
          <cell r="L43" t="str">
            <v>Controllable O&amp;M ($M)</v>
          </cell>
          <cell r="M43" t="str">
            <v>L</v>
          </cell>
          <cell r="N43">
            <v>77.5</v>
          </cell>
          <cell r="O43">
            <v>76.400000000000006</v>
          </cell>
          <cell r="P43" t="str">
            <v>-</v>
          </cell>
          <cell r="Q43">
            <v>76.2</v>
          </cell>
          <cell r="V43" t="str">
            <v>é</v>
          </cell>
          <cell r="W43" t="str">
            <v>ê</v>
          </cell>
          <cell r="Y43" t="str">
            <v>M</v>
          </cell>
          <cell r="Z43" t="str">
            <v>N</v>
          </cell>
        </row>
        <row r="44">
          <cell r="A44" t="str">
            <v>Net Write-Off ($) /$100 billed</v>
          </cell>
          <cell r="B44" t="str">
            <v>L</v>
          </cell>
          <cell r="C44">
            <v>0.7</v>
          </cell>
          <cell r="D44">
            <v>0.82</v>
          </cell>
          <cell r="E44" t="str">
            <v>é</v>
          </cell>
          <cell r="F44">
            <v>0.71</v>
          </cell>
          <cell r="G44">
            <v>0.71</v>
          </cell>
          <cell r="L44" t="str">
            <v>Net Write-Off ($) /$100 billed</v>
          </cell>
          <cell r="M44" t="str">
            <v>L</v>
          </cell>
          <cell r="N44">
            <v>0.71</v>
          </cell>
          <cell r="O44">
            <v>0.82</v>
          </cell>
          <cell r="P44" t="str">
            <v>+</v>
          </cell>
          <cell r="Q44">
            <v>0.69</v>
          </cell>
          <cell r="R44">
            <v>0.69</v>
          </cell>
          <cell r="V44" t="str">
            <v>é</v>
          </cell>
          <cell r="W44" t="str">
            <v>ê</v>
          </cell>
          <cell r="Y44" t="str">
            <v>M</v>
          </cell>
          <cell r="Z44" t="str">
            <v>O</v>
          </cell>
        </row>
        <row r="45">
          <cell r="A45" t="str">
            <v>Days Sales Outstanding</v>
          </cell>
          <cell r="B45" t="str">
            <v>L</v>
          </cell>
          <cell r="C45">
            <v>36.4</v>
          </cell>
          <cell r="D45">
            <v>34.5</v>
          </cell>
          <cell r="E45" t="str">
            <v>é</v>
          </cell>
          <cell r="F45">
            <v>33.700000000000003</v>
          </cell>
          <cell r="G45">
            <v>33.700000000000003</v>
          </cell>
          <cell r="L45" t="str">
            <v>Days Sales Outstanding</v>
          </cell>
          <cell r="M45" t="str">
            <v>L</v>
          </cell>
          <cell r="N45">
            <v>35.1</v>
          </cell>
          <cell r="O45">
            <v>34.5</v>
          </cell>
          <cell r="P45" t="str">
            <v>-</v>
          </cell>
          <cell r="Q45">
            <v>26.6</v>
          </cell>
          <cell r="R45">
            <v>26.6</v>
          </cell>
          <cell r="V45" t="str">
            <v>é</v>
          </cell>
          <cell r="W45" t="str">
            <v>é</v>
          </cell>
          <cell r="Y45" t="str">
            <v>M</v>
          </cell>
          <cell r="Z45" t="str">
            <v>O</v>
          </cell>
        </row>
        <row r="46">
          <cell r="A46" t="str">
            <v>Funds from Operations/Debt</v>
          </cell>
          <cell r="B46" t="str">
            <v>H</v>
          </cell>
          <cell r="C46" t="str">
            <v>Qrtly</v>
          </cell>
          <cell r="D46">
            <v>0.19500000000000001</v>
          </cell>
          <cell r="E46" t="str">
            <v>é</v>
          </cell>
          <cell r="F46" t="str">
            <v>Qtrly</v>
          </cell>
          <cell r="L46" t="str">
            <v>Funds from Operations/Debt</v>
          </cell>
          <cell r="M46" t="str">
            <v>H</v>
          </cell>
          <cell r="P46" t="str">
            <v xml:space="preserve"> </v>
          </cell>
          <cell r="V46" t="str">
            <v/>
          </cell>
          <cell r="W46" t="str">
            <v/>
          </cell>
          <cell r="Y46" t="str">
            <v>Q</v>
          </cell>
          <cell r="Z46" t="str">
            <v>O</v>
          </cell>
        </row>
        <row r="47">
          <cell r="A47" t="str">
            <v>ROIC</v>
          </cell>
          <cell r="B47" t="str">
            <v>H</v>
          </cell>
          <cell r="C47">
            <v>7.22E-2</v>
          </cell>
          <cell r="D47">
            <v>6.2E-2</v>
          </cell>
          <cell r="E47" t="str">
            <v>é</v>
          </cell>
          <cell r="F47">
            <v>6.9400000000000003E-2</v>
          </cell>
          <cell r="L47" t="str">
            <v>ROIC</v>
          </cell>
          <cell r="M47" t="str">
            <v>H</v>
          </cell>
          <cell r="N47">
            <v>7.22E-2</v>
          </cell>
          <cell r="O47">
            <v>6.2E-2</v>
          </cell>
          <cell r="P47" t="str">
            <v>+</v>
          </cell>
          <cell r="Q47">
            <v>6.9400000000000003E-2</v>
          </cell>
          <cell r="V47" t="str">
            <v>é</v>
          </cell>
          <cell r="W47" t="str">
            <v>é</v>
          </cell>
          <cell r="Y47" t="str">
            <v>M</v>
          </cell>
          <cell r="Z47" t="str">
            <v>O</v>
          </cell>
        </row>
        <row r="48">
          <cell r="A48" t="str">
            <v>Administrative cost of PSE&amp;G Solar Loan Program</v>
          </cell>
          <cell r="B48" t="str">
            <v>H</v>
          </cell>
          <cell r="C48" t="str">
            <v>Qtrly</v>
          </cell>
          <cell r="D48">
            <v>1939</v>
          </cell>
          <cell r="E48" t="str">
            <v>é</v>
          </cell>
          <cell r="F48" t="str">
            <v>Qtrly</v>
          </cell>
          <cell r="J48" t="str">
            <v>Qtrly</v>
          </cell>
          <cell r="L48" t="str">
            <v>Administrative cost of PSE&amp;G Solar Loan Program</v>
          </cell>
          <cell r="M48" t="str">
            <v>H</v>
          </cell>
          <cell r="N48" t="str">
            <v>Qtrly</v>
          </cell>
          <cell r="O48" t="str">
            <v xml:space="preserve"> </v>
          </cell>
          <cell r="P48" t="str">
            <v>o</v>
          </cell>
          <cell r="Q48" t="str">
            <v>Qtrly</v>
          </cell>
          <cell r="U48" t="str">
            <v>Qtrly</v>
          </cell>
          <cell r="V48" t="str">
            <v/>
          </cell>
          <cell r="W48" t="str">
            <v/>
          </cell>
          <cell r="Y48" t="str">
            <v>Q</v>
          </cell>
          <cell r="Z48" t="str">
            <v>N</v>
          </cell>
        </row>
        <row r="49">
          <cell r="A49" t="str">
            <v>EE-Productivity Measure (carbon abatement)</v>
          </cell>
          <cell r="B49" t="str">
            <v>L</v>
          </cell>
          <cell r="C49" t="str">
            <v>Qtrly</v>
          </cell>
          <cell r="D49">
            <v>0.26</v>
          </cell>
          <cell r="E49" t="str">
            <v>é</v>
          </cell>
          <cell r="F49" t="str">
            <v>Qtrly</v>
          </cell>
          <cell r="J49" t="str">
            <v>Qtrly</v>
          </cell>
          <cell r="L49" t="str">
            <v>EE-Productivity Measure (carbon abatement)</v>
          </cell>
          <cell r="M49" t="str">
            <v>L</v>
          </cell>
          <cell r="N49" t="str">
            <v>Qtrly</v>
          </cell>
          <cell r="O49" t="str">
            <v xml:space="preserve"> </v>
          </cell>
          <cell r="P49" t="str">
            <v>o</v>
          </cell>
          <cell r="Q49" t="str">
            <v>Qtrly</v>
          </cell>
          <cell r="U49" t="str">
            <v>Qtrly</v>
          </cell>
          <cell r="V49" t="str">
            <v/>
          </cell>
          <cell r="W49" t="str">
            <v/>
          </cell>
          <cell r="Y49" t="str">
            <v>Q</v>
          </cell>
          <cell r="Z49" t="str">
            <v>N</v>
          </cell>
        </row>
        <row r="50">
          <cell r="A50" t="str">
            <v>Capital Projects' Results</v>
          </cell>
          <cell r="B50" t="str">
            <v>H</v>
          </cell>
          <cell r="C50" t="str">
            <v>Qtrly</v>
          </cell>
          <cell r="D50">
            <v>0.82899999999999996</v>
          </cell>
          <cell r="E50" t="str">
            <v>é</v>
          </cell>
          <cell r="F50" t="str">
            <v>Qtrly</v>
          </cell>
          <cell r="G50" t="str">
            <v>Qtrly</v>
          </cell>
          <cell r="H50" t="str">
            <v>Qtrly</v>
          </cell>
          <cell r="I50" t="str">
            <v>Qtrly</v>
          </cell>
          <cell r="L50" t="str">
            <v>Capital Projects' Results</v>
          </cell>
          <cell r="M50" t="str">
            <v>H</v>
          </cell>
          <cell r="P50" t="str">
            <v xml:space="preserve"> </v>
          </cell>
          <cell r="V50" t="str">
            <v/>
          </cell>
          <cell r="W50" t="str">
            <v/>
          </cell>
          <cell r="Y50" t="str">
            <v>Q</v>
          </cell>
          <cell r="Z50" t="str">
            <v>N</v>
          </cell>
        </row>
        <row r="51">
          <cell r="A51" t="str">
            <v>Current Capital Performance</v>
          </cell>
          <cell r="B51" t="str">
            <v>H</v>
          </cell>
          <cell r="D51">
            <v>1</v>
          </cell>
          <cell r="E51" t="str">
            <v>é</v>
          </cell>
          <cell r="F51">
            <v>0.92</v>
          </cell>
          <cell r="G51">
            <v>1.1000000000000001</v>
          </cell>
          <cell r="I51">
            <v>0.84256725850135439</v>
          </cell>
          <cell r="L51" t="str">
            <v>Current Capital Performance</v>
          </cell>
          <cell r="M51" t="str">
            <v>H</v>
          </cell>
          <cell r="O51">
            <v>1</v>
          </cell>
          <cell r="P51" t="str">
            <v>o</v>
          </cell>
          <cell r="Q51">
            <v>0.92</v>
          </cell>
          <cell r="R51">
            <v>1.1000000000000001</v>
          </cell>
          <cell r="T51">
            <v>0.84256725850135439</v>
          </cell>
          <cell r="V51" t="str">
            <v>ê</v>
          </cell>
          <cell r="W51" t="str">
            <v/>
          </cell>
          <cell r="Y51" t="str">
            <v>M</v>
          </cell>
          <cell r="Z51" t="str">
            <v>N</v>
          </cell>
        </row>
        <row r="53">
          <cell r="A53" t="str">
            <v>GREEN ENERGY</v>
          </cell>
          <cell r="B53" t="str">
            <v>PSE&amp;G</v>
          </cell>
          <cell r="L53" t="str">
            <v>GREEN ENERGY</v>
          </cell>
          <cell r="M53" t="str">
            <v>PSE&amp;G</v>
          </cell>
        </row>
        <row r="54">
          <cell r="B54" t="str">
            <v>L/H</v>
          </cell>
          <cell r="C54" t="str">
            <v>Feb 08 YTD</v>
          </cell>
          <cell r="D54" t="str">
            <v>2009 Target</v>
          </cell>
          <cell r="E54" t="str">
            <v>YE Forecast</v>
          </cell>
          <cell r="F54" t="str">
            <v>PSE&amp;G</v>
          </cell>
          <cell r="G54" t="str">
            <v>Cust Ops</v>
          </cell>
          <cell r="H54" t="str">
            <v>Gas</v>
          </cell>
          <cell r="I54" t="str">
            <v>Electric</v>
          </cell>
          <cell r="J54" t="str">
            <v>Other</v>
          </cell>
          <cell r="M54" t="str">
            <v>L/H</v>
          </cell>
          <cell r="N54" t="str">
            <v>Feb 08</v>
          </cell>
          <cell r="O54" t="str">
            <v>2009 Target</v>
          </cell>
          <cell r="P54" t="str">
            <v>Monthly / Quarterly Status</v>
          </cell>
          <cell r="Q54" t="str">
            <v>PSE&amp;G</v>
          </cell>
          <cell r="R54" t="str">
            <v>Cust Ops</v>
          </cell>
          <cell r="S54" t="str">
            <v>Gas</v>
          </cell>
          <cell r="T54" t="str">
            <v>Electric</v>
          </cell>
          <cell r="U54" t="str">
            <v>Other</v>
          </cell>
        </row>
        <row r="55">
          <cell r="A55" t="str">
            <v>Fleet MPG</v>
          </cell>
          <cell r="B55" t="str">
            <v>H</v>
          </cell>
          <cell r="C55" t="str">
            <v>N/A</v>
          </cell>
          <cell r="D55">
            <v>8.9</v>
          </cell>
          <cell r="E55" t="str">
            <v>é</v>
          </cell>
          <cell r="F55">
            <v>8.7899999999999991</v>
          </cell>
          <cell r="L55" t="str">
            <v>Fleet MPG</v>
          </cell>
          <cell r="M55" t="str">
            <v>H</v>
          </cell>
          <cell r="N55">
            <v>0</v>
          </cell>
          <cell r="O55" t="str">
            <v xml:space="preserve"> </v>
          </cell>
          <cell r="P55" t="str">
            <v>o</v>
          </cell>
          <cell r="Q55">
            <v>0</v>
          </cell>
          <cell r="V55" t="str">
            <v>ê</v>
          </cell>
          <cell r="W55" t="str">
            <v/>
          </cell>
          <cell r="Y55" t="str">
            <v>M</v>
          </cell>
          <cell r="Z55" t="str">
            <v>O</v>
          </cell>
        </row>
        <row r="56">
          <cell r="A56" t="str">
            <v>Peak Demand Reduction (MW)</v>
          </cell>
          <cell r="B56" t="str">
            <v>H</v>
          </cell>
          <cell r="D56">
            <v>61.8</v>
          </cell>
          <cell r="E56" t="str">
            <v>é</v>
          </cell>
          <cell r="F56" t="str">
            <v>Qtrly</v>
          </cell>
          <cell r="J56" t="str">
            <v>Qtrly</v>
          </cell>
          <cell r="L56" t="str">
            <v>Peak Demand Reduction (MW)</v>
          </cell>
          <cell r="M56" t="str">
            <v>H</v>
          </cell>
          <cell r="O56">
            <v>61.8</v>
          </cell>
          <cell r="P56" t="str">
            <v>o</v>
          </cell>
          <cell r="Q56" t="str">
            <v>Qtrly</v>
          </cell>
          <cell r="U56" t="str">
            <v>Qtrly</v>
          </cell>
          <cell r="V56" t="str">
            <v/>
          </cell>
          <cell r="W56" t="str">
            <v/>
          </cell>
          <cell r="Y56" t="str">
            <v>Q</v>
          </cell>
          <cell r="Z56" t="str">
            <v>N</v>
          </cell>
        </row>
        <row r="57">
          <cell r="A57" t="str">
            <v>Renewable Energy Generated (kWh)</v>
          </cell>
          <cell r="B57" t="str">
            <v>H</v>
          </cell>
          <cell r="D57">
            <v>8479000</v>
          </cell>
          <cell r="E57" t="str">
            <v>é</v>
          </cell>
          <cell r="F57" t="str">
            <v>Qtrly</v>
          </cell>
          <cell r="J57" t="str">
            <v>Qtrly</v>
          </cell>
          <cell r="L57" t="str">
            <v>Renewable Energy Generated (kWh)</v>
          </cell>
          <cell r="M57" t="str">
            <v>H</v>
          </cell>
          <cell r="O57">
            <v>8479000</v>
          </cell>
          <cell r="P57" t="str">
            <v>o</v>
          </cell>
          <cell r="Q57" t="str">
            <v>Qtrly</v>
          </cell>
          <cell r="U57" t="str">
            <v>Qtrly</v>
          </cell>
          <cell r="V57" t="str">
            <v/>
          </cell>
          <cell r="W57" t="str">
            <v/>
          </cell>
          <cell r="Y57" t="str">
            <v>Q</v>
          </cell>
          <cell r="Z57" t="str">
            <v>N</v>
          </cell>
        </row>
        <row r="58">
          <cell r="A58" t="str">
            <v>Net Number of New Solar Meters in UEZs</v>
          </cell>
          <cell r="B58" t="str">
            <v>H</v>
          </cell>
          <cell r="D58">
            <v>6</v>
          </cell>
          <cell r="E58" t="str">
            <v>é</v>
          </cell>
          <cell r="F58" t="str">
            <v>Qtrly</v>
          </cell>
          <cell r="J58" t="str">
            <v>Qtrly</v>
          </cell>
          <cell r="L58" t="str">
            <v>Net Number of New Solar Meters in UEZs</v>
          </cell>
          <cell r="M58" t="str">
            <v>H</v>
          </cell>
          <cell r="O58">
            <v>6</v>
          </cell>
          <cell r="P58" t="str">
            <v>o</v>
          </cell>
          <cell r="Q58" t="str">
            <v>Qtrly</v>
          </cell>
          <cell r="U58" t="str">
            <v>Qtrly</v>
          </cell>
          <cell r="V58" t="str">
            <v/>
          </cell>
          <cell r="W58" t="str">
            <v/>
          </cell>
          <cell r="Y58" t="str">
            <v>Q</v>
          </cell>
          <cell r="Z58" t="str">
            <v>N</v>
          </cell>
        </row>
        <row r="59">
          <cell r="A59" t="str">
            <v>Non-Hazardous Waste</v>
          </cell>
          <cell r="B59" t="str">
            <v>L</v>
          </cell>
          <cell r="C59" t="str">
            <v>Qtrly</v>
          </cell>
          <cell r="D59">
            <v>0.96899999999999997</v>
          </cell>
          <cell r="E59" t="str">
            <v>é</v>
          </cell>
          <cell r="F59" t="str">
            <v>Qtrly</v>
          </cell>
          <cell r="G59" t="str">
            <v>Qtrly</v>
          </cell>
          <cell r="H59" t="str">
            <v>Qtrly</v>
          </cell>
          <cell r="I59" t="str">
            <v>Qtrly</v>
          </cell>
          <cell r="L59" t="str">
            <v>Non-Hazardous Waste</v>
          </cell>
          <cell r="M59" t="str">
            <v>L</v>
          </cell>
          <cell r="O59">
            <v>0.96899999999999997</v>
          </cell>
          <cell r="P59" t="str">
            <v>o</v>
          </cell>
          <cell r="Q59" t="str">
            <v>Qtrly</v>
          </cell>
          <cell r="R59" t="str">
            <v>Qtrly</v>
          </cell>
          <cell r="S59" t="str">
            <v>Qtrly</v>
          </cell>
          <cell r="T59" t="str">
            <v>Qtrly</v>
          </cell>
          <cell r="V59" t="str">
            <v/>
          </cell>
          <cell r="W59" t="str">
            <v/>
          </cell>
          <cell r="Y59" t="str">
            <v>Q</v>
          </cell>
          <cell r="Z59" t="str">
            <v>N</v>
          </cell>
        </row>
        <row r="60">
          <cell r="A60" t="str">
            <v>Hazardous Waste</v>
          </cell>
          <cell r="B60" t="str">
            <v>L</v>
          </cell>
          <cell r="C60" t="str">
            <v>Qtrly</v>
          </cell>
          <cell r="D60">
            <v>3.59</v>
          </cell>
          <cell r="E60" t="str">
            <v>é</v>
          </cell>
          <cell r="F60" t="str">
            <v>Qtrly</v>
          </cell>
          <cell r="G60" t="str">
            <v xml:space="preserve"> </v>
          </cell>
          <cell r="H60" t="str">
            <v xml:space="preserve"> </v>
          </cell>
          <cell r="I60" t="str">
            <v xml:space="preserve"> </v>
          </cell>
          <cell r="L60" t="str">
            <v>Hazardous Waste</v>
          </cell>
          <cell r="M60" t="str">
            <v>L</v>
          </cell>
          <cell r="N60">
            <v>0</v>
          </cell>
          <cell r="O60">
            <v>3.59</v>
          </cell>
          <cell r="P60" t="str">
            <v>o</v>
          </cell>
          <cell r="Q60" t="str">
            <v>Qtrly</v>
          </cell>
          <cell r="R60" t="str">
            <v xml:space="preserve"> </v>
          </cell>
          <cell r="S60" t="str">
            <v xml:space="preserve"> </v>
          </cell>
          <cell r="T60" t="str">
            <v xml:space="preserve"> </v>
          </cell>
          <cell r="V60" t="str">
            <v/>
          </cell>
          <cell r="W60" t="str">
            <v/>
          </cell>
          <cell r="Y60" t="str">
            <v>Q</v>
          </cell>
          <cell r="Z60" t="str">
            <v>N</v>
          </cell>
        </row>
        <row r="61">
          <cell r="A61" t="str">
            <v>Carbon Abatement Energy Savings (kWh equivalent)</v>
          </cell>
          <cell r="B61" t="str">
            <v>H</v>
          </cell>
          <cell r="D61">
            <v>30373151</v>
          </cell>
          <cell r="E61" t="str">
            <v>é</v>
          </cell>
          <cell r="F61">
            <v>725149</v>
          </cell>
          <cell r="J61">
            <v>30373151</v>
          </cell>
          <cell r="L61" t="str">
            <v>Carbon Abatement Energy Savings (kWh equivalent)</v>
          </cell>
          <cell r="M61" t="str">
            <v>H</v>
          </cell>
          <cell r="P61" t="str">
            <v>N/A</v>
          </cell>
          <cell r="Q61">
            <v>438838</v>
          </cell>
          <cell r="U61">
            <v>438838</v>
          </cell>
          <cell r="V61" t="str">
            <v>ê</v>
          </cell>
          <cell r="W61" t="str">
            <v/>
          </cell>
        </row>
        <row r="62">
          <cell r="V62">
            <v>15</v>
          </cell>
          <cell r="W62">
            <v>9</v>
          </cell>
        </row>
        <row r="63">
          <cell r="A63" t="str">
            <v>Expected to meet or exceed goal   é    Achievement of goal not yet assured   çè    Not expected to meet goal   ê</v>
          </cell>
          <cell r="L63" t="str">
            <v xml:space="preserve">LEGEND:    Monthly Status:        +  = Better than Plan,        o  = On Plan,        -  = Worse than Plan,      </v>
          </cell>
          <cell r="V63">
            <v>0.55555555555555558</v>
          </cell>
          <cell r="W63">
            <v>0.34615384615384615</v>
          </cell>
          <cell r="Y63">
            <v>44</v>
          </cell>
          <cell r="Z63">
            <v>44</v>
          </cell>
        </row>
      </sheetData>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 old"/>
      <sheetName val="Reporting_Period"/>
      <sheetName val="PSE&amp;G"/>
      <sheetName val="Definitions"/>
    </sheetNames>
    <sheetDataSet>
      <sheetData sheetId="0" refreshError="1"/>
      <sheetData sheetId="1" refreshError="1"/>
      <sheetData sheetId="2" refreshError="1">
        <row r="6">
          <cell r="A6" t="str">
            <v>PEOPLE providing</v>
          </cell>
          <cell r="B6" t="str">
            <v>PSE&amp;G</v>
          </cell>
          <cell r="L6" t="str">
            <v>PEOPLE providing</v>
          </cell>
          <cell r="M6" t="str">
            <v>PSE&amp;G</v>
          </cell>
          <cell r="Y6" t="str">
            <v>M</v>
          </cell>
        </row>
        <row r="7">
          <cell r="B7" t="str">
            <v>L/H</v>
          </cell>
          <cell r="C7" t="str">
            <v>Nov 09 YTD</v>
          </cell>
          <cell r="D7" t="str">
            <v>2009 Target</v>
          </cell>
          <cell r="E7" t="str">
            <v>YE Forecast</v>
          </cell>
          <cell r="F7" t="str">
            <v>PSE&amp;G</v>
          </cell>
          <cell r="G7" t="str">
            <v>Cust Ops</v>
          </cell>
          <cell r="H7" t="str">
            <v>Gas</v>
          </cell>
          <cell r="I7" t="str">
            <v>Electric</v>
          </cell>
          <cell r="J7" t="str">
            <v>Other</v>
          </cell>
          <cell r="M7" t="str">
            <v>L/H</v>
          </cell>
          <cell r="N7" t="str">
            <v>Nov 09</v>
          </cell>
          <cell r="O7" t="str">
            <v>2009 Target</v>
          </cell>
          <cell r="P7" t="str">
            <v>Monthly / Quarterly Status</v>
          </cell>
          <cell r="Q7" t="str">
            <v>PSE&amp;G</v>
          </cell>
          <cell r="R7" t="str">
            <v>Cust Ops</v>
          </cell>
          <cell r="S7" t="str">
            <v>Gas</v>
          </cell>
          <cell r="T7" t="str">
            <v>Electric</v>
          </cell>
          <cell r="U7" t="str">
            <v>Other</v>
          </cell>
          <cell r="Y7" t="str">
            <v>M</v>
          </cell>
        </row>
        <row r="8">
          <cell r="A8" t="str">
            <v>OSHA Recordable Incidence Rate</v>
          </cell>
          <cell r="B8" t="str">
            <v>L</v>
          </cell>
          <cell r="C8">
            <v>2.02</v>
          </cell>
          <cell r="D8">
            <v>1.8</v>
          </cell>
          <cell r="E8" t="str">
            <v>é</v>
          </cell>
          <cell r="F8">
            <v>1.75</v>
          </cell>
          <cell r="G8">
            <v>1.21</v>
          </cell>
          <cell r="H8">
            <v>2.2000000000000002</v>
          </cell>
          <cell r="I8">
            <v>1.7716194643412808</v>
          </cell>
          <cell r="L8" t="str">
            <v>OSHA Recordable Incidence Rate</v>
          </cell>
          <cell r="M8" t="str">
            <v>L</v>
          </cell>
          <cell r="N8">
            <v>1.4372491871842543</v>
          </cell>
          <cell r="O8">
            <v>1.8</v>
          </cell>
          <cell r="P8" t="str">
            <v>+</v>
          </cell>
          <cell r="Q8">
            <v>1.33</v>
          </cell>
          <cell r="R8">
            <v>0.79</v>
          </cell>
          <cell r="S8">
            <v>2.2400000000000002</v>
          </cell>
          <cell r="T8">
            <v>0.92271234523374668</v>
          </cell>
          <cell r="V8" t="str">
            <v>é</v>
          </cell>
          <cell r="W8" t="str">
            <v>é</v>
          </cell>
          <cell r="Y8" t="str">
            <v>M</v>
          </cell>
          <cell r="Z8" t="str">
            <v>O</v>
          </cell>
        </row>
        <row r="9">
          <cell r="A9" t="str">
            <v>OSHA Days Away Rate (Severity)</v>
          </cell>
          <cell r="B9" t="str">
            <v>L</v>
          </cell>
          <cell r="C9">
            <v>9.18</v>
          </cell>
          <cell r="D9">
            <v>7.94</v>
          </cell>
          <cell r="E9" t="str">
            <v>ê</v>
          </cell>
          <cell r="F9">
            <v>17.48</v>
          </cell>
          <cell r="G9">
            <v>20.25</v>
          </cell>
          <cell r="H9">
            <v>13.3</v>
          </cell>
          <cell r="I9">
            <v>19.487814107754087</v>
          </cell>
          <cell r="L9" t="str">
            <v>OSHA Days Away Rate (Severity)</v>
          </cell>
          <cell r="M9" t="str">
            <v>L</v>
          </cell>
          <cell r="N9">
            <v>13.67</v>
          </cell>
          <cell r="O9">
            <v>7.94</v>
          </cell>
          <cell r="P9" t="str">
            <v>-</v>
          </cell>
          <cell r="Q9">
            <v>13.67</v>
          </cell>
          <cell r="R9">
            <v>11.84</v>
          </cell>
          <cell r="S9">
            <v>3.36</v>
          </cell>
          <cell r="T9">
            <v>23.529164803460542</v>
          </cell>
          <cell r="V9" t="str">
            <v>ê</v>
          </cell>
          <cell r="W9" t="str">
            <v>ê</v>
          </cell>
          <cell r="Y9" t="str">
            <v>M</v>
          </cell>
          <cell r="Z9" t="str">
            <v>O</v>
          </cell>
        </row>
        <row r="10">
          <cell r="A10" t="str">
            <v>Motor Vehicle Accident Rate</v>
          </cell>
          <cell r="B10" t="str">
            <v>L</v>
          </cell>
          <cell r="C10">
            <v>4.57</v>
          </cell>
          <cell r="D10">
            <v>3.42</v>
          </cell>
          <cell r="E10" t="str">
            <v>ê</v>
          </cell>
          <cell r="F10">
            <v>5.22</v>
          </cell>
          <cell r="G10">
            <v>5.44</v>
          </cell>
          <cell r="H10">
            <v>4.07</v>
          </cell>
          <cell r="I10">
            <v>6.571678915513381</v>
          </cell>
          <cell r="J10">
            <v>7.44</v>
          </cell>
          <cell r="L10" t="str">
            <v>Motor Vehicle Accident Rate</v>
          </cell>
          <cell r="M10" t="str">
            <v>L</v>
          </cell>
          <cell r="N10">
            <v>3.08</v>
          </cell>
          <cell r="O10">
            <v>3.42</v>
          </cell>
          <cell r="P10" t="str">
            <v>-</v>
          </cell>
          <cell r="Q10">
            <v>5.47</v>
          </cell>
          <cell r="R10">
            <v>10.02</v>
          </cell>
          <cell r="S10">
            <v>4.3433023382409433</v>
          </cell>
          <cell r="T10">
            <v>5.5327368581938794</v>
          </cell>
          <cell r="U10">
            <v>0</v>
          </cell>
          <cell r="V10" t="str">
            <v>ê</v>
          </cell>
          <cell r="W10" t="str">
            <v>ê</v>
          </cell>
          <cell r="Y10" t="str">
            <v>M</v>
          </cell>
          <cell r="Z10" t="str">
            <v>O</v>
          </cell>
        </row>
        <row r="11">
          <cell r="A11" t="str">
            <v>Availability - Illness</v>
          </cell>
          <cell r="B11" t="str">
            <v>H</v>
          </cell>
          <cell r="C11">
            <v>0.96599999999999997</v>
          </cell>
          <cell r="D11">
            <v>0.97299999999999998</v>
          </cell>
          <cell r="E11" t="str">
            <v>ê</v>
          </cell>
          <cell r="F11">
            <v>0.96499999999999997</v>
          </cell>
          <cell r="G11">
            <v>0.95599999999999996</v>
          </cell>
          <cell r="H11">
            <v>0.96899999999999997</v>
          </cell>
          <cell r="I11">
            <v>0.96793335842588191</v>
          </cell>
          <cell r="J11">
            <v>0.97899999999999998</v>
          </cell>
          <cell r="L11" t="str">
            <v>Availability - Illness</v>
          </cell>
          <cell r="M11" t="str">
            <v>H</v>
          </cell>
          <cell r="N11">
            <v>0.97199999999999998</v>
          </cell>
          <cell r="O11">
            <v>0.97299999999999998</v>
          </cell>
          <cell r="P11" t="str">
            <v>-</v>
          </cell>
          <cell r="Q11">
            <v>0.96899999999999997</v>
          </cell>
          <cell r="R11">
            <v>0.95599999999999996</v>
          </cell>
          <cell r="S11">
            <v>0.97199999999999998</v>
          </cell>
          <cell r="T11">
            <v>0.97497910678755451</v>
          </cell>
          <cell r="U11">
            <v>0.96899999999999997</v>
          </cell>
          <cell r="V11" t="str">
            <v>ê</v>
          </cell>
          <cell r="W11" t="str">
            <v>ê</v>
          </cell>
          <cell r="Y11" t="str">
            <v>M</v>
          </cell>
          <cell r="Z11" t="str">
            <v>O</v>
          </cell>
        </row>
        <row r="12">
          <cell r="A12" t="str">
            <v>Overtime</v>
          </cell>
          <cell r="B12" t="str">
            <v>L</v>
          </cell>
          <cell r="C12">
            <v>0.16900000000000001</v>
          </cell>
          <cell r="D12">
            <v>0.113</v>
          </cell>
          <cell r="E12" t="str">
            <v>ê</v>
          </cell>
          <cell r="F12">
            <v>0.16600000000000001</v>
          </cell>
          <cell r="G12">
            <v>0.121</v>
          </cell>
          <cell r="H12">
            <v>0.16039999999999999</v>
          </cell>
          <cell r="I12">
            <v>0.20263991287408198</v>
          </cell>
          <cell r="L12" t="str">
            <v>Overtime</v>
          </cell>
          <cell r="M12" t="str">
            <v>L</v>
          </cell>
          <cell r="N12">
            <v>0.182</v>
          </cell>
          <cell r="O12">
            <v>0.113</v>
          </cell>
          <cell r="P12" t="str">
            <v>-</v>
          </cell>
          <cell r="Q12">
            <v>0.19700000000000001</v>
          </cell>
          <cell r="R12">
            <v>9.8000000000000004E-2</v>
          </cell>
          <cell r="S12">
            <v>0.25240000000000001</v>
          </cell>
          <cell r="T12">
            <v>0.21997347365814832</v>
          </cell>
          <cell r="Y12" t="str">
            <v>M</v>
          </cell>
          <cell r="Z12" t="str">
            <v>O</v>
          </cell>
        </row>
        <row r="13">
          <cell r="A13" t="str">
            <v>Staffing Levels - Permanent</v>
          </cell>
          <cell r="B13" t="str">
            <v>L</v>
          </cell>
          <cell r="C13">
            <v>6318</v>
          </cell>
          <cell r="D13">
            <v>6271</v>
          </cell>
          <cell r="E13" t="str">
            <v>é</v>
          </cell>
          <cell r="F13">
            <v>6352</v>
          </cell>
          <cell r="G13">
            <v>1511</v>
          </cell>
          <cell r="H13">
            <v>2055</v>
          </cell>
          <cell r="I13">
            <v>2722</v>
          </cell>
          <cell r="J13">
            <v>64</v>
          </cell>
          <cell r="V13" t="str">
            <v>ê</v>
          </cell>
          <cell r="W13" t="str">
            <v>ê</v>
          </cell>
          <cell r="Y13" t="str">
            <v>M</v>
          </cell>
          <cell r="Z13" t="str">
            <v>O</v>
          </cell>
        </row>
        <row r="14">
          <cell r="A14" t="str">
            <v>Employee Development - MAST</v>
          </cell>
          <cell r="B14" t="str">
            <v>H</v>
          </cell>
          <cell r="C14">
            <v>0.72199999999999998</v>
          </cell>
          <cell r="D14">
            <v>0.95</v>
          </cell>
          <cell r="E14" t="str">
            <v>é</v>
          </cell>
          <cell r="F14">
            <v>0.76929999999999998</v>
          </cell>
          <cell r="G14">
            <v>0.78</v>
          </cell>
          <cell r="H14">
            <v>0.85899999999999999</v>
          </cell>
          <cell r="I14">
            <v>0.7411271062271062</v>
          </cell>
          <cell r="J14">
            <v>0.55900000000000005</v>
          </cell>
          <cell r="V14" t="str">
            <v>ê</v>
          </cell>
          <cell r="W14" t="str">
            <v>é</v>
          </cell>
          <cell r="Y14" t="str">
            <v>M</v>
          </cell>
          <cell r="Z14" t="str">
            <v>O</v>
          </cell>
        </row>
        <row r="15">
          <cell r="A15" t="str">
            <v>Succession Planning</v>
          </cell>
          <cell r="B15" t="str">
            <v>H</v>
          </cell>
          <cell r="C15">
            <v>0.64615384615384619</v>
          </cell>
          <cell r="D15">
            <v>0.73799999999999999</v>
          </cell>
          <cell r="E15" t="str">
            <v>é</v>
          </cell>
          <cell r="F15">
            <v>0.73015873015873012</v>
          </cell>
          <cell r="V15" t="str">
            <v>ê</v>
          </cell>
          <cell r="W15" t="str">
            <v>é</v>
          </cell>
          <cell r="Y15" t="str">
            <v>Q</v>
          </cell>
          <cell r="Z15" t="str">
            <v>N</v>
          </cell>
        </row>
        <row r="16">
          <cell r="A16" t="str">
            <v>Corporate Culture for Ethics and Compliance</v>
          </cell>
          <cell r="B16" t="str">
            <v>H</v>
          </cell>
          <cell r="D16">
            <v>0.66</v>
          </cell>
          <cell r="E16" t="str">
            <v>ê</v>
          </cell>
          <cell r="F16">
            <v>0.64</v>
          </cell>
          <cell r="G16">
            <v>0.65</v>
          </cell>
          <cell r="H16">
            <v>0.62</v>
          </cell>
          <cell r="I16">
            <v>0.65</v>
          </cell>
          <cell r="V16" t="str">
            <v>ê</v>
          </cell>
          <cell r="W16" t="str">
            <v/>
          </cell>
          <cell r="Y16" t="str">
            <v>Q</v>
          </cell>
          <cell r="Z16" t="str">
            <v>O</v>
          </cell>
        </row>
        <row r="17">
          <cell r="A17" t="str">
            <v>Employee Technical Training - BU</v>
          </cell>
          <cell r="B17" t="str">
            <v>H</v>
          </cell>
          <cell r="C17">
            <v>0.64300000000000002</v>
          </cell>
          <cell r="D17">
            <v>1</v>
          </cell>
          <cell r="E17" t="str">
            <v>é</v>
          </cell>
          <cell r="F17">
            <v>0.7833939799591938</v>
          </cell>
          <cell r="G17">
            <v>1.02</v>
          </cell>
          <cell r="H17">
            <v>0</v>
          </cell>
          <cell r="I17">
            <v>0.82999940992506049</v>
          </cell>
          <cell r="V17" t="str">
            <v>ê</v>
          </cell>
          <cell r="W17" t="str">
            <v>é</v>
          </cell>
          <cell r="Y17" t="str">
            <v>Q</v>
          </cell>
          <cell r="Z17" t="str">
            <v>O</v>
          </cell>
        </row>
        <row r="18">
          <cell r="A18" t="str">
            <v>Fringe Benefit Rate</v>
          </cell>
          <cell r="B18" t="str">
            <v>L</v>
          </cell>
          <cell r="C18">
            <v>0.30941935511527424</v>
          </cell>
          <cell r="D18">
            <v>0.50449999999999995</v>
          </cell>
          <cell r="E18" t="str">
            <v>é</v>
          </cell>
          <cell r="F18">
            <v>0.48480434542471712</v>
          </cell>
          <cell r="V18" t="str">
            <v>é</v>
          </cell>
          <cell r="W18" t="str">
            <v>ê</v>
          </cell>
          <cell r="Y18" t="str">
            <v>Q</v>
          </cell>
          <cell r="Z18" t="str">
            <v>O</v>
          </cell>
        </row>
        <row r="19">
          <cell r="Y19" t="str">
            <v>M</v>
          </cell>
        </row>
        <row r="20">
          <cell r="A20" t="str">
            <v>SAFE, RELIABLE</v>
          </cell>
          <cell r="B20" t="str">
            <v>PSE&amp;G</v>
          </cell>
          <cell r="L20" t="str">
            <v>SAFE, RELIABLE</v>
          </cell>
          <cell r="M20" t="str">
            <v>PSE&amp;G</v>
          </cell>
          <cell r="Y20" t="str">
            <v>M</v>
          </cell>
        </row>
        <row r="21">
          <cell r="B21" t="str">
            <v>L/H</v>
          </cell>
          <cell r="C21" t="str">
            <v>Nov 09 YTD</v>
          </cell>
          <cell r="D21" t="str">
            <v>2009 Target</v>
          </cell>
          <cell r="E21" t="str">
            <v>YE Forecast</v>
          </cell>
          <cell r="F21" t="str">
            <v>PSE&amp;G</v>
          </cell>
          <cell r="G21" t="str">
            <v>Cust Ops</v>
          </cell>
          <cell r="H21" t="str">
            <v>Gas</v>
          </cell>
          <cell r="I21" t="str">
            <v>Electric</v>
          </cell>
          <cell r="J21" t="str">
            <v>Other</v>
          </cell>
          <cell r="M21" t="str">
            <v>L/H</v>
          </cell>
          <cell r="N21" t="str">
            <v>Nov 09</v>
          </cell>
          <cell r="O21" t="str">
            <v>2009 Target</v>
          </cell>
          <cell r="P21" t="str">
            <v>Monthly / Quarterly Status</v>
          </cell>
          <cell r="Q21" t="str">
            <v>PSE&amp;G</v>
          </cell>
          <cell r="R21" t="str">
            <v>Cust Ops</v>
          </cell>
          <cell r="S21" t="str">
            <v>Gas</v>
          </cell>
          <cell r="T21" t="str">
            <v>Electric</v>
          </cell>
          <cell r="U21" t="str">
            <v>Other</v>
          </cell>
          <cell r="Y21" t="str">
            <v>M</v>
          </cell>
        </row>
        <row r="22">
          <cell r="A22" t="str">
            <v>SAIFI</v>
          </cell>
          <cell r="B22" t="str">
            <v>L</v>
          </cell>
          <cell r="C22">
            <v>0.66</v>
          </cell>
          <cell r="D22">
            <v>0.72</v>
          </cell>
          <cell r="E22" t="str">
            <v>é</v>
          </cell>
          <cell r="F22">
            <v>0.64</v>
          </cell>
          <cell r="I22">
            <v>0.64</v>
          </cell>
          <cell r="L22" t="str">
            <v>SAIFI</v>
          </cell>
          <cell r="M22" t="str">
            <v>L</v>
          </cell>
          <cell r="N22">
            <v>0.04</v>
          </cell>
          <cell r="O22">
            <v>5.0996821272297967E-2</v>
          </cell>
          <cell r="P22" t="str">
            <v>+</v>
          </cell>
          <cell r="Q22">
            <v>0.04</v>
          </cell>
          <cell r="T22">
            <v>0.04</v>
          </cell>
          <cell r="V22" t="str">
            <v>é</v>
          </cell>
          <cell r="W22" t="str">
            <v>é</v>
          </cell>
          <cell r="Y22" t="str">
            <v>M</v>
          </cell>
          <cell r="Z22" t="str">
            <v>O</v>
          </cell>
        </row>
        <row r="23">
          <cell r="A23" t="str">
            <v>MAIFI</v>
          </cell>
          <cell r="B23" t="str">
            <v>L</v>
          </cell>
          <cell r="C23">
            <v>1.24</v>
          </cell>
          <cell r="D23">
            <v>1.25</v>
          </cell>
          <cell r="E23" t="str">
            <v>é</v>
          </cell>
          <cell r="F23">
            <v>1.1399999999999999</v>
          </cell>
          <cell r="I23">
            <v>1.1399999999999999</v>
          </cell>
          <cell r="L23" t="str">
            <v>MAIFI</v>
          </cell>
          <cell r="M23" t="str">
            <v>L</v>
          </cell>
          <cell r="N23">
            <v>0.09</v>
          </cell>
          <cell r="O23">
            <v>0.11391304347826098</v>
          </cell>
          <cell r="P23" t="str">
            <v>+</v>
          </cell>
          <cell r="Q23">
            <v>0.08</v>
          </cell>
          <cell r="T23">
            <v>0.08</v>
          </cell>
          <cell r="V23" t="str">
            <v>é</v>
          </cell>
          <cell r="W23" t="str">
            <v>é</v>
          </cell>
          <cell r="Y23" t="str">
            <v>M</v>
          </cell>
          <cell r="Z23" t="str">
            <v>O</v>
          </cell>
        </row>
        <row r="24">
          <cell r="A24" t="str">
            <v>CAIDI</v>
          </cell>
          <cell r="B24" t="str">
            <v>L</v>
          </cell>
          <cell r="C24">
            <v>65.400000000000006</v>
          </cell>
          <cell r="D24">
            <v>66.5</v>
          </cell>
          <cell r="E24" t="str">
            <v>é</v>
          </cell>
          <cell r="F24">
            <v>64.11</v>
          </cell>
          <cell r="I24">
            <v>64.11</v>
          </cell>
          <cell r="L24" t="str">
            <v>CAIDI</v>
          </cell>
          <cell r="M24" t="str">
            <v>L</v>
          </cell>
          <cell r="N24">
            <v>46.8</v>
          </cell>
          <cell r="O24">
            <v>58.344090663574896</v>
          </cell>
          <cell r="P24" t="str">
            <v>-</v>
          </cell>
          <cell r="Q24">
            <v>70.39</v>
          </cell>
          <cell r="T24">
            <v>70.39</v>
          </cell>
          <cell r="V24" t="str">
            <v>é</v>
          </cell>
          <cell r="W24" t="str">
            <v>é</v>
          </cell>
          <cell r="Y24" t="str">
            <v>M</v>
          </cell>
          <cell r="Z24" t="str">
            <v>O</v>
          </cell>
        </row>
        <row r="25">
          <cell r="A25" t="str">
            <v>CEMI</v>
          </cell>
          <cell r="B25" t="str">
            <v>L</v>
          </cell>
          <cell r="C25">
            <v>0.02</v>
          </cell>
          <cell r="D25">
            <v>2.3E-2</v>
          </cell>
          <cell r="E25" t="str">
            <v>é</v>
          </cell>
          <cell r="F25">
            <v>1.0999999999999999E-2</v>
          </cell>
          <cell r="I25">
            <v>1.0999999999999999E-2</v>
          </cell>
          <cell r="L25" t="str">
            <v>CEMI</v>
          </cell>
          <cell r="M25" t="str">
            <v>L</v>
          </cell>
          <cell r="N25">
            <v>0</v>
          </cell>
          <cell r="O25">
            <v>0</v>
          </cell>
          <cell r="P25" t="str">
            <v>o</v>
          </cell>
          <cell r="Q25">
            <v>0</v>
          </cell>
          <cell r="T25">
            <v>0</v>
          </cell>
          <cell r="V25" t="str">
            <v>é</v>
          </cell>
          <cell r="W25" t="str">
            <v>é</v>
          </cell>
          <cell r="Y25" t="str">
            <v>M</v>
          </cell>
          <cell r="Z25" t="str">
            <v>O</v>
          </cell>
        </row>
        <row r="26">
          <cell r="A26" t="str">
            <v>Gas Leak Reports per Mile</v>
          </cell>
          <cell r="B26" t="str">
            <v>L</v>
          </cell>
          <cell r="C26">
            <v>0.20899999999999999</v>
          </cell>
          <cell r="D26">
            <v>0.222</v>
          </cell>
          <cell r="E26" t="str">
            <v>é</v>
          </cell>
          <cell r="F26">
            <v>0.18906559222724459</v>
          </cell>
          <cell r="H26">
            <v>0.189</v>
          </cell>
          <cell r="L26" t="str">
            <v>Gas Leak Reports per Mile</v>
          </cell>
          <cell r="M26" t="str">
            <v>L</v>
          </cell>
          <cell r="N26">
            <v>1.2E-2</v>
          </cell>
          <cell r="O26">
            <v>1.4017627333333319E-2</v>
          </cell>
          <cell r="P26" t="str">
            <v>+</v>
          </cell>
          <cell r="Q26">
            <v>1.2821957549319916E-2</v>
          </cell>
          <cell r="S26">
            <v>1.2999999999999999E-2</v>
          </cell>
          <cell r="V26" t="str">
            <v>é</v>
          </cell>
          <cell r="W26" t="str">
            <v>é</v>
          </cell>
          <cell r="Y26" t="str">
            <v>M</v>
          </cell>
          <cell r="Z26" t="str">
            <v>O</v>
          </cell>
        </row>
        <row r="27">
          <cell r="A27" t="str">
            <v>Damages per 1,000 Locate Requests</v>
          </cell>
          <cell r="B27" t="str">
            <v>L</v>
          </cell>
          <cell r="C27">
            <v>1.83</v>
          </cell>
          <cell r="D27">
            <v>1.97</v>
          </cell>
          <cell r="E27" t="str">
            <v>é</v>
          </cell>
          <cell r="F27">
            <v>1.52</v>
          </cell>
          <cell r="H27">
            <v>2.2799999999999998</v>
          </cell>
          <cell r="I27">
            <v>0.71</v>
          </cell>
          <cell r="L27" t="str">
            <v>Damages per 1,000 Locate Requests</v>
          </cell>
          <cell r="M27" t="str">
            <v>L</v>
          </cell>
          <cell r="N27">
            <v>1.7</v>
          </cell>
          <cell r="O27">
            <v>1.97</v>
          </cell>
          <cell r="P27" t="str">
            <v>+</v>
          </cell>
          <cell r="Q27">
            <v>1.94</v>
          </cell>
          <cell r="S27">
            <v>2.61</v>
          </cell>
          <cell r="T27">
            <v>1.24</v>
          </cell>
          <cell r="V27" t="str">
            <v>é</v>
          </cell>
          <cell r="W27" t="str">
            <v>é</v>
          </cell>
          <cell r="Y27" t="str">
            <v>M</v>
          </cell>
          <cell r="Z27" t="str">
            <v>O</v>
          </cell>
        </row>
        <row r="28">
          <cell r="A28" t="str">
            <v>Leak Response Rate</v>
          </cell>
          <cell r="B28" t="str">
            <v>H</v>
          </cell>
          <cell r="C28">
            <v>0.999</v>
          </cell>
          <cell r="D28">
            <v>0.99900000000000011</v>
          </cell>
          <cell r="E28" t="str">
            <v>é</v>
          </cell>
          <cell r="F28">
            <v>0.999</v>
          </cell>
          <cell r="H28">
            <v>0.999</v>
          </cell>
          <cell r="L28" t="str">
            <v>Leak Response Rate</v>
          </cell>
          <cell r="M28" t="str">
            <v>H</v>
          </cell>
          <cell r="N28">
            <v>0.99909999999999999</v>
          </cell>
          <cell r="O28">
            <v>0.99900000000000011</v>
          </cell>
          <cell r="P28" t="str">
            <v>-</v>
          </cell>
          <cell r="Q28">
            <v>0.998</v>
          </cell>
          <cell r="S28">
            <v>0.998</v>
          </cell>
          <cell r="V28" t="str">
            <v>é</v>
          </cell>
          <cell r="W28" t="str">
            <v>é</v>
          </cell>
          <cell r="Y28" t="str">
            <v>M</v>
          </cell>
          <cell r="Z28" t="str">
            <v>O</v>
          </cell>
        </row>
        <row r="29">
          <cell r="A29" t="str">
            <v>Fix It Right</v>
          </cell>
          <cell r="B29" t="str">
            <v>H</v>
          </cell>
          <cell r="C29">
            <v>0.86467000000000005</v>
          </cell>
          <cell r="D29" t="str">
            <v>N/A</v>
          </cell>
          <cell r="F29">
            <v>0</v>
          </cell>
          <cell r="H29">
            <v>0.83599999999999997</v>
          </cell>
          <cell r="L29" t="str">
            <v>Fix It Right</v>
          </cell>
          <cell r="M29" t="str">
            <v>H</v>
          </cell>
          <cell r="N29">
            <v>0.83869000000000005</v>
          </cell>
          <cell r="O29" t="str">
            <v>N/A</v>
          </cell>
          <cell r="P29" t="str">
            <v>N/A</v>
          </cell>
          <cell r="Q29">
            <v>0</v>
          </cell>
          <cell r="S29">
            <v>0.84899999999999998</v>
          </cell>
          <cell r="V29" t="str">
            <v/>
          </cell>
          <cell r="W29" t="str">
            <v>ê</v>
          </cell>
          <cell r="Y29" t="str">
            <v>M</v>
          </cell>
          <cell r="Z29" t="str">
            <v>O</v>
          </cell>
        </row>
        <row r="30">
          <cell r="A30" t="str">
            <v>Percent of Actual Meters Read</v>
          </cell>
          <cell r="B30" t="str">
            <v>H</v>
          </cell>
          <cell r="C30">
            <v>0.90100000000000002</v>
          </cell>
          <cell r="D30">
            <v>0.90100000000000002</v>
          </cell>
          <cell r="E30" t="str">
            <v>ê</v>
          </cell>
          <cell r="F30">
            <v>0.88400000000000001</v>
          </cell>
          <cell r="G30">
            <v>0.88400000000000001</v>
          </cell>
          <cell r="L30" t="str">
            <v>Percent of Actual Meters Read</v>
          </cell>
          <cell r="M30" t="str">
            <v>H</v>
          </cell>
          <cell r="N30">
            <v>0.90300000000000002</v>
          </cell>
          <cell r="O30">
            <v>0.90100000000000002</v>
          </cell>
          <cell r="P30" t="str">
            <v>-</v>
          </cell>
          <cell r="Q30">
            <v>0.89500000000000002</v>
          </cell>
          <cell r="R30">
            <v>0.89500000000000002</v>
          </cell>
          <cell r="V30" t="str">
            <v>ê</v>
          </cell>
          <cell r="W30" t="str">
            <v>ê</v>
          </cell>
          <cell r="Y30" t="str">
            <v>M</v>
          </cell>
          <cell r="Z30" t="str">
            <v>O</v>
          </cell>
        </row>
        <row r="31">
          <cell r="A31" t="str">
            <v>Gen'l Inquiry Service Level (30 sec.)</v>
          </cell>
          <cell r="B31" t="str">
            <v>H</v>
          </cell>
          <cell r="C31">
            <v>0.76</v>
          </cell>
          <cell r="D31">
            <v>0.51</v>
          </cell>
          <cell r="E31" t="str">
            <v>é</v>
          </cell>
          <cell r="F31">
            <v>0.61399999999999999</v>
          </cell>
          <cell r="G31">
            <v>0.61399999999999999</v>
          </cell>
          <cell r="L31" t="str">
            <v>Gen'l Inquiry Service Level (30 sec.)</v>
          </cell>
          <cell r="M31" t="str">
            <v>H</v>
          </cell>
          <cell r="N31">
            <v>0.70199999999999996</v>
          </cell>
          <cell r="O31">
            <v>0.51</v>
          </cell>
          <cell r="P31" t="str">
            <v>+</v>
          </cell>
          <cell r="Q31">
            <v>0.69499999999999995</v>
          </cell>
          <cell r="R31">
            <v>0.69499999999999995</v>
          </cell>
          <cell r="V31" t="str">
            <v>é</v>
          </cell>
          <cell r="W31" t="str">
            <v>ê</v>
          </cell>
          <cell r="Y31" t="str">
            <v>M</v>
          </cell>
          <cell r="Z31" t="str">
            <v>O</v>
          </cell>
        </row>
        <row r="32">
          <cell r="A32" t="str">
            <v>First Contact Resolution</v>
          </cell>
          <cell r="B32" t="str">
            <v>H</v>
          </cell>
          <cell r="C32">
            <v>0.871</v>
          </cell>
          <cell r="D32" t="str">
            <v>N/A</v>
          </cell>
          <cell r="F32">
            <v>0</v>
          </cell>
          <cell r="G32">
            <v>0</v>
          </cell>
          <cell r="L32" t="str">
            <v>First Contact Resolution</v>
          </cell>
          <cell r="M32" t="str">
            <v>H</v>
          </cell>
          <cell r="N32">
            <v>0.86</v>
          </cell>
          <cell r="O32" t="str">
            <v>N/A</v>
          </cell>
          <cell r="P32" t="str">
            <v>N/A</v>
          </cell>
          <cell r="Q32">
            <v>0</v>
          </cell>
          <cell r="R32">
            <v>0</v>
          </cell>
          <cell r="V32" t="str">
            <v/>
          </cell>
          <cell r="W32" t="str">
            <v>ê</v>
          </cell>
          <cell r="Y32" t="str">
            <v>M</v>
          </cell>
          <cell r="Z32" t="str">
            <v>O</v>
          </cell>
        </row>
        <row r="33">
          <cell r="A33" t="str">
            <v>BPU Inquiry Rate-Collection</v>
          </cell>
          <cell r="B33" t="str">
            <v>L</v>
          </cell>
          <cell r="C33">
            <v>1.27</v>
          </cell>
          <cell r="D33">
            <v>1.25</v>
          </cell>
          <cell r="E33" t="str">
            <v>ê</v>
          </cell>
          <cell r="F33">
            <v>1.84</v>
          </cell>
          <cell r="G33">
            <v>1.84</v>
          </cell>
          <cell r="L33" t="str">
            <v>BPU Inquiry Rate-Collection</v>
          </cell>
          <cell r="M33" t="str">
            <v>L</v>
          </cell>
          <cell r="N33">
            <v>1.43</v>
          </cell>
          <cell r="O33">
            <v>1.25</v>
          </cell>
          <cell r="P33" t="str">
            <v>+</v>
          </cell>
          <cell r="Q33">
            <v>0.99</v>
          </cell>
          <cell r="R33">
            <v>0.99</v>
          </cell>
          <cell r="V33" t="str">
            <v>ê</v>
          </cell>
          <cell r="W33" t="str">
            <v>ê</v>
          </cell>
          <cell r="Y33" t="str">
            <v>M</v>
          </cell>
          <cell r="Z33" t="str">
            <v>C</v>
          </cell>
        </row>
        <row r="34">
          <cell r="A34" t="str">
            <v>BPU Inquiries - Non-Collection</v>
          </cell>
          <cell r="B34" t="str">
            <v>L</v>
          </cell>
          <cell r="C34">
            <v>1305</v>
          </cell>
          <cell r="D34">
            <v>1500</v>
          </cell>
          <cell r="E34" t="str">
            <v>ê</v>
          </cell>
          <cell r="F34">
            <v>2662</v>
          </cell>
          <cell r="G34">
            <v>2193</v>
          </cell>
          <cell r="H34">
            <v>172</v>
          </cell>
          <cell r="I34">
            <v>145</v>
          </cell>
          <cell r="J34">
            <v>152</v>
          </cell>
          <cell r="L34" t="str">
            <v>BPU Inquiries - Non-Collection</v>
          </cell>
          <cell r="M34" t="str">
            <v>L</v>
          </cell>
          <cell r="N34">
            <v>89</v>
          </cell>
          <cell r="O34">
            <v>121</v>
          </cell>
          <cell r="P34" t="str">
            <v>-</v>
          </cell>
          <cell r="Q34">
            <v>258</v>
          </cell>
          <cell r="R34">
            <v>233</v>
          </cell>
          <cell r="S34">
            <v>3</v>
          </cell>
          <cell r="T34">
            <v>18</v>
          </cell>
          <cell r="U34">
            <v>4</v>
          </cell>
          <cell r="V34" t="str">
            <v>ê</v>
          </cell>
          <cell r="W34" t="str">
            <v>ê</v>
          </cell>
          <cell r="Y34" t="str">
            <v>M</v>
          </cell>
          <cell r="Z34" t="str">
            <v>O</v>
          </cell>
        </row>
        <row r="35">
          <cell r="A35" t="str">
            <v>Perception Survey (Residential)</v>
          </cell>
          <cell r="B35" t="str">
            <v>H</v>
          </cell>
          <cell r="C35">
            <v>75</v>
          </cell>
          <cell r="D35">
            <v>76</v>
          </cell>
          <cell r="E35" t="str">
            <v>ê</v>
          </cell>
          <cell r="F35">
            <v>74</v>
          </cell>
          <cell r="L35" t="str">
            <v>Perception Survey (Residential)</v>
          </cell>
          <cell r="M35" t="str">
            <v>H</v>
          </cell>
          <cell r="N35">
            <v>76</v>
          </cell>
          <cell r="O35">
            <v>76</v>
          </cell>
          <cell r="P35" t="str">
            <v>-</v>
          </cell>
          <cell r="Q35">
            <v>73</v>
          </cell>
          <cell r="V35" t="str">
            <v>ê</v>
          </cell>
          <cell r="W35" t="str">
            <v>ê</v>
          </cell>
          <cell r="Y35" t="str">
            <v>M</v>
          </cell>
          <cell r="Z35" t="str">
            <v>O</v>
          </cell>
        </row>
        <row r="36">
          <cell r="A36" t="str">
            <v>Perception Survey (Small Business)</v>
          </cell>
          <cell r="B36" t="str">
            <v>H</v>
          </cell>
          <cell r="C36">
            <v>76</v>
          </cell>
          <cell r="D36">
            <v>77</v>
          </cell>
          <cell r="E36" t="str">
            <v>ê</v>
          </cell>
          <cell r="F36">
            <v>75</v>
          </cell>
          <cell r="L36" t="str">
            <v>Perception Survey (Small Business)</v>
          </cell>
          <cell r="M36" t="str">
            <v>H</v>
          </cell>
          <cell r="N36">
            <v>74</v>
          </cell>
          <cell r="O36">
            <v>77</v>
          </cell>
          <cell r="P36" t="str">
            <v>-</v>
          </cell>
          <cell r="Q36">
            <v>74</v>
          </cell>
          <cell r="V36" t="str">
            <v>ê</v>
          </cell>
          <cell r="W36" t="str">
            <v>ê</v>
          </cell>
          <cell r="Y36" t="str">
            <v>M</v>
          </cell>
          <cell r="Z36" t="str">
            <v>O</v>
          </cell>
        </row>
        <row r="37">
          <cell r="A37" t="str">
            <v>Perception Survey (Large Business)</v>
          </cell>
          <cell r="B37" t="str">
            <v>H</v>
          </cell>
          <cell r="C37">
            <v>8.9</v>
          </cell>
          <cell r="D37">
            <v>9</v>
          </cell>
          <cell r="E37" t="str">
            <v>ê</v>
          </cell>
          <cell r="F37">
            <v>8.6999999999999993</v>
          </cell>
          <cell r="G37">
            <v>75</v>
          </cell>
          <cell r="H37">
            <v>0</v>
          </cell>
          <cell r="I37">
            <v>0</v>
          </cell>
          <cell r="L37" t="str">
            <v>Perception Survey (Large Business)</v>
          </cell>
          <cell r="M37" t="str">
            <v>H</v>
          </cell>
          <cell r="N37">
            <v>8.9</v>
          </cell>
          <cell r="O37">
            <v>9</v>
          </cell>
          <cell r="P37" t="str">
            <v>-</v>
          </cell>
          <cell r="Q37">
            <v>8.6999999999999993</v>
          </cell>
          <cell r="R37">
            <v>74</v>
          </cell>
          <cell r="S37">
            <v>0</v>
          </cell>
          <cell r="T37">
            <v>0</v>
          </cell>
          <cell r="V37" t="str">
            <v>ê</v>
          </cell>
          <cell r="W37" t="str">
            <v>ê</v>
          </cell>
          <cell r="Y37" t="str">
            <v>Q</v>
          </cell>
          <cell r="Z37" t="str">
            <v>O</v>
          </cell>
        </row>
        <row r="38">
          <cell r="A38" t="str">
            <v>Moment of Truth Survey</v>
          </cell>
          <cell r="B38" t="str">
            <v>H</v>
          </cell>
          <cell r="C38">
            <v>8.5</v>
          </cell>
          <cell r="D38">
            <v>8.6</v>
          </cell>
          <cell r="E38" t="str">
            <v>ê</v>
          </cell>
          <cell r="F38">
            <v>8.4</v>
          </cell>
          <cell r="G38">
            <v>8.1</v>
          </cell>
          <cell r="H38">
            <v>9.1</v>
          </cell>
          <cell r="I38">
            <v>8.76</v>
          </cell>
          <cell r="L38" t="str">
            <v>New Business Construction Survey</v>
          </cell>
          <cell r="M38" t="str">
            <v>H</v>
          </cell>
          <cell r="N38">
            <v>8.5</v>
          </cell>
          <cell r="O38">
            <v>8.6</v>
          </cell>
          <cell r="P38" t="str">
            <v>-</v>
          </cell>
          <cell r="Q38">
            <v>8.4</v>
          </cell>
          <cell r="R38" t="str">
            <v>Quarterly</v>
          </cell>
          <cell r="S38">
            <v>9.1999999999999993</v>
          </cell>
          <cell r="T38">
            <v>8.65</v>
          </cell>
          <cell r="V38" t="str">
            <v>ê</v>
          </cell>
          <cell r="W38" t="str">
            <v>ê</v>
          </cell>
          <cell r="Y38" t="str">
            <v>Q</v>
          </cell>
          <cell r="Z38" t="str">
            <v>O</v>
          </cell>
        </row>
        <row r="39">
          <cell r="Y39" t="str">
            <v>M</v>
          </cell>
        </row>
        <row r="40">
          <cell r="A40" t="str">
            <v>ECONOMIC</v>
          </cell>
          <cell r="B40" t="str">
            <v>PSE&amp;G</v>
          </cell>
          <cell r="L40" t="str">
            <v>ECONOMIC</v>
          </cell>
          <cell r="M40" t="str">
            <v>PSE&amp;G</v>
          </cell>
          <cell r="Y40" t="str">
            <v>M</v>
          </cell>
        </row>
        <row r="41">
          <cell r="B41" t="str">
            <v>L/H</v>
          </cell>
          <cell r="C41" t="str">
            <v>Nov 09 YTD</v>
          </cell>
          <cell r="D41" t="str">
            <v>2009 Target</v>
          </cell>
          <cell r="E41" t="str">
            <v>YE Forecast</v>
          </cell>
          <cell r="F41" t="str">
            <v>PSE&amp;G</v>
          </cell>
          <cell r="G41" t="str">
            <v>Cust Ops</v>
          </cell>
          <cell r="H41" t="str">
            <v>Gas</v>
          </cell>
          <cell r="I41" t="str">
            <v>Electric</v>
          </cell>
          <cell r="J41" t="str">
            <v>Other</v>
          </cell>
          <cell r="M41" t="str">
            <v>L/H</v>
          </cell>
          <cell r="N41" t="str">
            <v>Nov 09</v>
          </cell>
          <cell r="O41" t="str">
            <v>2009 Target</v>
          </cell>
          <cell r="P41" t="str">
            <v>Monthly / Quarterly Status</v>
          </cell>
          <cell r="Q41" t="str">
            <v>PSE&amp;G</v>
          </cell>
          <cell r="R41" t="str">
            <v>Cust Ops</v>
          </cell>
          <cell r="S41" t="str">
            <v>Gas</v>
          </cell>
          <cell r="T41" t="str">
            <v>Electric</v>
          </cell>
          <cell r="U41" t="str">
            <v>Other</v>
          </cell>
          <cell r="Y41" t="str">
            <v>M</v>
          </cell>
        </row>
        <row r="42">
          <cell r="A42" t="str">
            <v>Total CapEx ($M)</v>
          </cell>
          <cell r="B42" t="str">
            <v>L</v>
          </cell>
          <cell r="C42">
            <v>726.39999999999986</v>
          </cell>
          <cell r="D42">
            <v>775.6</v>
          </cell>
          <cell r="E42" t="str">
            <v>ê</v>
          </cell>
          <cell r="F42">
            <v>813.31045500000005</v>
          </cell>
          <cell r="G42">
            <v>37.229999999999997</v>
          </cell>
          <cell r="H42">
            <v>210.72</v>
          </cell>
          <cell r="I42">
            <v>565.36101299999996</v>
          </cell>
          <cell r="J42">
            <v>0</v>
          </cell>
          <cell r="L42" t="str">
            <v>Total CapEx ($M)</v>
          </cell>
          <cell r="M42" t="str">
            <v>L</v>
          </cell>
          <cell r="N42">
            <v>63.3</v>
          </cell>
          <cell r="O42">
            <v>61.8</v>
          </cell>
          <cell r="P42" t="str">
            <v>-</v>
          </cell>
          <cell r="Q42">
            <v>97.597088000000014</v>
          </cell>
          <cell r="R42">
            <v>0.30300000000000005</v>
          </cell>
          <cell r="S42">
            <v>26.545999999999999</v>
          </cell>
          <cell r="T42">
            <v>70.747945999999999</v>
          </cell>
          <cell r="U42">
            <v>0</v>
          </cell>
          <cell r="V42" t="str">
            <v>ê</v>
          </cell>
          <cell r="W42" t="str">
            <v>ê</v>
          </cell>
          <cell r="Y42" t="str">
            <v>M</v>
          </cell>
          <cell r="Z42" t="str">
            <v>O</v>
          </cell>
        </row>
        <row r="43">
          <cell r="A43" t="str">
            <v>Accountability O&amp;M ($M)</v>
          </cell>
          <cell r="B43" t="str">
            <v>L</v>
          </cell>
          <cell r="C43">
            <v>644.5</v>
          </cell>
          <cell r="D43">
            <v>784.5</v>
          </cell>
          <cell r="E43" t="str">
            <v>é</v>
          </cell>
          <cell r="F43">
            <v>693.55122788999984</v>
          </cell>
          <cell r="G43">
            <v>162.80000000000001</v>
          </cell>
          <cell r="H43">
            <v>214.887</v>
          </cell>
          <cell r="I43">
            <v>287.13512888584472</v>
          </cell>
          <cell r="J43">
            <v>28.772066580000004</v>
          </cell>
          <cell r="L43" t="str">
            <v>Accountability O&amp;M ($M)</v>
          </cell>
          <cell r="M43" t="str">
            <v>L</v>
          </cell>
          <cell r="N43">
            <v>52.1</v>
          </cell>
          <cell r="O43">
            <v>65.400000000000006</v>
          </cell>
          <cell r="P43" t="str">
            <v>+</v>
          </cell>
          <cell r="Q43">
            <v>57.086735029999993</v>
          </cell>
          <cell r="R43">
            <v>15.112959</v>
          </cell>
          <cell r="S43">
            <v>16.765999999999998</v>
          </cell>
          <cell r="T43">
            <v>22.648526738759756</v>
          </cell>
          <cell r="U43">
            <v>2.5595132299999994</v>
          </cell>
          <cell r="V43" t="str">
            <v>ê</v>
          </cell>
          <cell r="W43" t="str">
            <v>ê</v>
          </cell>
          <cell r="Y43" t="str">
            <v>M</v>
          </cell>
          <cell r="Z43" t="str">
            <v>O</v>
          </cell>
        </row>
        <row r="44">
          <cell r="A44" t="str">
            <v>Controllable O&amp;M ($M)</v>
          </cell>
          <cell r="B44" t="str">
            <v>L</v>
          </cell>
          <cell r="C44">
            <v>831.30000000000007</v>
          </cell>
          <cell r="D44">
            <v>991.4</v>
          </cell>
          <cell r="E44" t="str">
            <v>é</v>
          </cell>
          <cell r="F44">
            <v>869.61329728999988</v>
          </cell>
          <cell r="L44" t="str">
            <v>Controllable O&amp;M ($M)</v>
          </cell>
          <cell r="M44" t="str">
            <v>L</v>
          </cell>
          <cell r="N44">
            <v>67.2</v>
          </cell>
          <cell r="O44">
            <v>83.100000000000009</v>
          </cell>
          <cell r="P44" t="str">
            <v>+</v>
          </cell>
          <cell r="Q44">
            <v>73.359008329999995</v>
          </cell>
          <cell r="V44" t="str">
            <v>ê</v>
          </cell>
          <cell r="W44" t="str">
            <v>ê</v>
          </cell>
          <cell r="Y44" t="str">
            <v>M</v>
          </cell>
          <cell r="Z44" t="str">
            <v>N</v>
          </cell>
        </row>
        <row r="45">
          <cell r="A45" t="str">
            <v>Net Write-Off ($) /$100 billed</v>
          </cell>
          <cell r="B45" t="str">
            <v>L</v>
          </cell>
          <cell r="C45">
            <v>0.86</v>
          </cell>
          <cell r="D45">
            <v>0.82</v>
          </cell>
          <cell r="E45" t="str">
            <v>ê</v>
          </cell>
          <cell r="F45">
            <v>1.1357327178496943</v>
          </cell>
          <cell r="G45">
            <v>1.1399999999999999</v>
          </cell>
          <cell r="L45" t="str">
            <v>Net Write-Off ($) /$100 billed</v>
          </cell>
          <cell r="M45" t="str">
            <v>L</v>
          </cell>
          <cell r="N45">
            <v>1.22</v>
          </cell>
          <cell r="O45">
            <v>0.82</v>
          </cell>
          <cell r="P45" t="str">
            <v>-</v>
          </cell>
          <cell r="Q45">
            <v>2.7234959560938128</v>
          </cell>
          <cell r="R45">
            <v>2.72</v>
          </cell>
          <cell r="V45" t="str">
            <v>ê</v>
          </cell>
          <cell r="W45" t="str">
            <v>ê</v>
          </cell>
          <cell r="Y45" t="str">
            <v>M</v>
          </cell>
          <cell r="Z45" t="str">
            <v>O</v>
          </cell>
        </row>
        <row r="46">
          <cell r="A46" t="str">
            <v>Days Sales Outstanding</v>
          </cell>
          <cell r="B46" t="str">
            <v>L</v>
          </cell>
          <cell r="C46">
            <v>35.799999999999997</v>
          </cell>
          <cell r="D46">
            <v>34.5</v>
          </cell>
          <cell r="E46" t="str">
            <v>ê</v>
          </cell>
          <cell r="F46">
            <v>36.40450719356631</v>
          </cell>
          <cell r="G46">
            <v>36.4</v>
          </cell>
          <cell r="L46" t="str">
            <v>Days Sales Outstanding</v>
          </cell>
          <cell r="M46" t="str">
            <v>L</v>
          </cell>
          <cell r="N46">
            <v>34.4</v>
          </cell>
          <cell r="O46">
            <v>34.5</v>
          </cell>
          <cell r="P46" t="str">
            <v>-</v>
          </cell>
          <cell r="Q46">
            <v>39.495607245370948</v>
          </cell>
          <cell r="R46">
            <v>39.5</v>
          </cell>
          <cell r="V46" t="str">
            <v>ê</v>
          </cell>
          <cell r="W46" t="str">
            <v>ê</v>
          </cell>
          <cell r="Y46" t="str">
            <v>M</v>
          </cell>
          <cell r="Z46" t="str">
            <v>O</v>
          </cell>
        </row>
        <row r="47">
          <cell r="A47" t="str">
            <v>Current Capital Performance</v>
          </cell>
          <cell r="B47" t="str">
            <v>H</v>
          </cell>
          <cell r="D47">
            <v>1</v>
          </cell>
          <cell r="E47" t="str">
            <v>é</v>
          </cell>
          <cell r="F47">
            <v>1.01</v>
          </cell>
          <cell r="G47">
            <v>0.9</v>
          </cell>
          <cell r="I47">
            <v>1.0474094141460659</v>
          </cell>
          <cell r="V47" t="str">
            <v>é</v>
          </cell>
          <cell r="W47" t="str">
            <v/>
          </cell>
          <cell r="Y47" t="str">
            <v>M</v>
          </cell>
          <cell r="Z47" t="str">
            <v>N</v>
          </cell>
        </row>
        <row r="48">
          <cell r="A48" t="str">
            <v>ROIC</v>
          </cell>
          <cell r="B48" t="str">
            <v>H</v>
          </cell>
          <cell r="C48">
            <v>7.1212209737292975E-2</v>
          </cell>
          <cell r="D48">
            <v>6.2E-2</v>
          </cell>
          <cell r="E48" t="str">
            <v>é</v>
          </cell>
          <cell r="F48">
            <v>5.8474977635110247E-2</v>
          </cell>
          <cell r="V48" t="str">
            <v>ê</v>
          </cell>
          <cell r="W48" t="str">
            <v>ê</v>
          </cell>
          <cell r="Y48" t="str">
            <v>M</v>
          </cell>
          <cell r="Z48" t="str">
            <v>O</v>
          </cell>
        </row>
        <row r="49">
          <cell r="A49" t="str">
            <v>Funds from Operations/Debt</v>
          </cell>
          <cell r="B49" t="str">
            <v>H</v>
          </cell>
          <cell r="C49">
            <v>0.21199999999999999</v>
          </cell>
          <cell r="D49">
            <v>0.19500000000000001</v>
          </cell>
          <cell r="E49" t="str">
            <v>é</v>
          </cell>
          <cell r="F49">
            <v>0.23899999999999999</v>
          </cell>
          <cell r="V49" t="str">
            <v>é</v>
          </cell>
          <cell r="W49" t="str">
            <v>é</v>
          </cell>
          <cell r="Y49" t="str">
            <v>Q</v>
          </cell>
          <cell r="Z49" t="str">
            <v>O</v>
          </cell>
        </row>
        <row r="50">
          <cell r="A50" t="str">
            <v>(Societal) Cost ($) of PSE&amp;G Solar Loan Program</v>
          </cell>
          <cell r="B50" t="str">
            <v>L</v>
          </cell>
          <cell r="D50">
            <v>1939</v>
          </cell>
          <cell r="E50" t="str">
            <v>é</v>
          </cell>
          <cell r="F50">
            <v>1529</v>
          </cell>
          <cell r="J50">
            <v>1529</v>
          </cell>
          <cell r="V50" t="str">
            <v>ê</v>
          </cell>
          <cell r="W50" t="str">
            <v/>
          </cell>
          <cell r="Y50" t="str">
            <v>Q</v>
          </cell>
          <cell r="Z50" t="str">
            <v>N</v>
          </cell>
        </row>
        <row r="51">
          <cell r="A51" t="str">
            <v>EE-Productivity Measure (carbon abatement)</v>
          </cell>
          <cell r="B51" t="str">
            <v>L</v>
          </cell>
          <cell r="D51">
            <v>0.26</v>
          </cell>
          <cell r="E51" t="str">
            <v>ê</v>
          </cell>
          <cell r="F51">
            <v>0.26</v>
          </cell>
          <cell r="J51">
            <v>0</v>
          </cell>
          <cell r="V51" t="str">
            <v>é</v>
          </cell>
          <cell r="W51" t="str">
            <v/>
          </cell>
          <cell r="Y51" t="str">
            <v>Q</v>
          </cell>
          <cell r="Z51" t="str">
            <v>N</v>
          </cell>
        </row>
        <row r="52">
          <cell r="A52" t="str">
            <v>Capital Projects' Results</v>
          </cell>
          <cell r="B52" t="str">
            <v>H</v>
          </cell>
          <cell r="C52">
            <v>0.70299999999999996</v>
          </cell>
          <cell r="D52">
            <v>0.82899999999999996</v>
          </cell>
          <cell r="E52" t="str">
            <v>ê</v>
          </cell>
          <cell r="F52">
            <v>0.65300000000000002</v>
          </cell>
          <cell r="G52">
            <v>0.89600000000000002</v>
          </cell>
          <cell r="H52">
            <v>0.65200000000000002</v>
          </cell>
          <cell r="I52">
            <v>0.45158641670101024</v>
          </cell>
          <cell r="V52" t="str">
            <v>ê</v>
          </cell>
          <cell r="W52" t="str">
            <v>ê</v>
          </cell>
          <cell r="Y52" t="str">
            <v>Q</v>
          </cell>
          <cell r="Z52" t="str">
            <v>N</v>
          </cell>
        </row>
        <row r="53">
          <cell r="Y53" t="str">
            <v>M</v>
          </cell>
        </row>
        <row r="54">
          <cell r="A54" t="str">
            <v>GREEN ENERGY</v>
          </cell>
          <cell r="B54" t="str">
            <v>PSE&amp;G</v>
          </cell>
          <cell r="L54" t="str">
            <v>GREEN ENERGY</v>
          </cell>
          <cell r="M54" t="str">
            <v>PSE&amp;G</v>
          </cell>
          <cell r="Y54" t="str">
            <v>M</v>
          </cell>
        </row>
        <row r="55">
          <cell r="B55" t="str">
            <v>L/H</v>
          </cell>
          <cell r="C55" t="str">
            <v>Nov 09 YTD</v>
          </cell>
          <cell r="D55" t="str">
            <v>2009 Target</v>
          </cell>
          <cell r="E55" t="str">
            <v>YE Forecast</v>
          </cell>
          <cell r="F55" t="str">
            <v>PSE&amp;G</v>
          </cell>
          <cell r="G55" t="str">
            <v>Cust Ops</v>
          </cell>
          <cell r="H55" t="str">
            <v>Gas</v>
          </cell>
          <cell r="I55" t="str">
            <v>Electric</v>
          </cell>
          <cell r="J55" t="str">
            <v>Other</v>
          </cell>
          <cell r="M55" t="str">
            <v>L/H</v>
          </cell>
          <cell r="N55" t="str">
            <v>Nov 09</v>
          </cell>
          <cell r="O55" t="str">
            <v>2009 Target</v>
          </cell>
          <cell r="P55" t="str">
            <v>Monthly / Quarterly Status</v>
          </cell>
          <cell r="Q55" t="str">
            <v>PSE&amp;G</v>
          </cell>
          <cell r="R55" t="str">
            <v>Cust Ops</v>
          </cell>
          <cell r="S55" t="str">
            <v>Gas</v>
          </cell>
          <cell r="T55" t="str">
            <v>Electric</v>
          </cell>
          <cell r="U55" t="str">
            <v>Other</v>
          </cell>
          <cell r="Y55" t="str">
            <v>M</v>
          </cell>
        </row>
        <row r="56">
          <cell r="A56" t="str">
            <v>Fleet MPG</v>
          </cell>
          <cell r="B56" t="str">
            <v>H</v>
          </cell>
          <cell r="C56">
            <v>8.9209439931870556</v>
          </cell>
          <cell r="D56">
            <v>8.9</v>
          </cell>
          <cell r="E56" t="str">
            <v>é</v>
          </cell>
          <cell r="F56">
            <v>8.9570602114278799</v>
          </cell>
          <cell r="L56" t="str">
            <v>Fleet MPG</v>
          </cell>
          <cell r="M56" t="str">
            <v>H</v>
          </cell>
          <cell r="N56">
            <v>9.137474058138265</v>
          </cell>
          <cell r="O56">
            <v>8.9</v>
          </cell>
          <cell r="P56" t="str">
            <v>+</v>
          </cell>
          <cell r="Q56">
            <v>9.017001719908647</v>
          </cell>
          <cell r="V56" t="str">
            <v>é</v>
          </cell>
          <cell r="W56" t="str">
            <v>é</v>
          </cell>
          <cell r="Y56" t="str">
            <v>M</v>
          </cell>
          <cell r="Z56" t="str">
            <v>O</v>
          </cell>
        </row>
        <row r="57">
          <cell r="A57" t="str">
            <v>Renewable Energy Generated (kWh)</v>
          </cell>
          <cell r="B57" t="str">
            <v>H</v>
          </cell>
          <cell r="D57">
            <v>8479000</v>
          </cell>
          <cell r="E57" t="str">
            <v>ê</v>
          </cell>
          <cell r="F57">
            <v>4224148.3118333332</v>
          </cell>
          <cell r="J57">
            <v>4224148.3118333332</v>
          </cell>
          <cell r="L57" t="str">
            <v>Renewable Energy Generated (kWh)</v>
          </cell>
          <cell r="M57" t="str">
            <v>H</v>
          </cell>
          <cell r="O57">
            <v>8479000</v>
          </cell>
          <cell r="P57" t="str">
            <v>o</v>
          </cell>
          <cell r="Q57">
            <v>321999.897</v>
          </cell>
          <cell r="U57">
            <v>321999.897</v>
          </cell>
          <cell r="V57" t="str">
            <v>ê</v>
          </cell>
          <cell r="W57" t="str">
            <v/>
          </cell>
          <cell r="Y57" t="str">
            <v>M</v>
          </cell>
          <cell r="Z57" t="str">
            <v>N</v>
          </cell>
        </row>
        <row r="58">
          <cell r="A58" t="str">
            <v>Non-Hazardous Waste</v>
          </cell>
          <cell r="B58" t="str">
            <v>H</v>
          </cell>
          <cell r="C58">
            <v>0.96889999999999998</v>
          </cell>
          <cell r="D58">
            <v>0.96899999999999997</v>
          </cell>
          <cell r="E58" t="str">
            <v>é</v>
          </cell>
          <cell r="F58">
            <v>0.97883845015190174</v>
          </cell>
          <cell r="G58">
            <v>0.72030000000000005</v>
          </cell>
          <cell r="H58">
            <v>0.99099999999999999</v>
          </cell>
          <cell r="I58">
            <v>0.96672648230640068</v>
          </cell>
          <cell r="L58" t="str">
            <v>Non-Hazardous Waste</v>
          </cell>
          <cell r="M58" t="str">
            <v>H</v>
          </cell>
          <cell r="N58">
            <v>0.97282346900471639</v>
          </cell>
          <cell r="O58">
            <v>0.96899999999999997</v>
          </cell>
          <cell r="P58" t="str">
            <v>-</v>
          </cell>
          <cell r="Q58">
            <v>0.96208330366992356</v>
          </cell>
          <cell r="R58">
            <v>0.62539999999999996</v>
          </cell>
          <cell r="S58">
            <v>0.98699999999999999</v>
          </cell>
          <cell r="T58">
            <v>0.93782407515859079</v>
          </cell>
          <cell r="V58" t="str">
            <v>ê</v>
          </cell>
          <cell r="W58" t="str">
            <v>ê</v>
          </cell>
          <cell r="Y58" t="str">
            <v>M</v>
          </cell>
          <cell r="Z58" t="str">
            <v>N</v>
          </cell>
        </row>
        <row r="59">
          <cell r="A59" t="str">
            <v>Energy Efficiency Energy Savings (kWh equivalent)</v>
          </cell>
          <cell r="B59" t="str">
            <v>H</v>
          </cell>
          <cell r="D59">
            <v>30373151</v>
          </cell>
          <cell r="E59" t="str">
            <v>é</v>
          </cell>
          <cell r="F59">
            <v>53534833.286763452</v>
          </cell>
          <cell r="J59">
            <v>53534833.286763459</v>
          </cell>
          <cell r="L59" t="str">
            <v>Energy Efficiency Energy Savings (kWh equivalent)</v>
          </cell>
          <cell r="M59" t="str">
            <v>H</v>
          </cell>
          <cell r="P59" t="str">
            <v>N/A</v>
          </cell>
          <cell r="Q59">
            <v>23377255.282350838</v>
          </cell>
          <cell r="U59">
            <v>23377255.282350834</v>
          </cell>
          <cell r="V59" t="str">
            <v>é</v>
          </cell>
          <cell r="W59" t="str">
            <v/>
          </cell>
          <cell r="Y59" t="str">
            <v>M</v>
          </cell>
          <cell r="Z59" t="str">
            <v>N</v>
          </cell>
        </row>
        <row r="60">
          <cell r="A60" t="str">
            <v>Net Number of New Solar Meters in UEZs</v>
          </cell>
          <cell r="B60" t="str">
            <v>H</v>
          </cell>
          <cell r="D60">
            <v>6</v>
          </cell>
          <cell r="E60" t="str">
            <v>é</v>
          </cell>
          <cell r="F60">
            <v>4</v>
          </cell>
          <cell r="J60">
            <v>4</v>
          </cell>
          <cell r="L60" t="str">
            <v>Net Number of New Solar Meters in UEZs</v>
          </cell>
          <cell r="M60" t="str">
            <v>H</v>
          </cell>
          <cell r="O60">
            <v>6</v>
          </cell>
          <cell r="P60" t="str">
            <v>o</v>
          </cell>
          <cell r="Q60">
            <v>2</v>
          </cell>
          <cell r="U60">
            <v>2</v>
          </cell>
          <cell r="V60" t="str">
            <v>ê</v>
          </cell>
          <cell r="W60" t="str">
            <v/>
          </cell>
          <cell r="Y60" t="str">
            <v>Q</v>
          </cell>
          <cell r="Z60" t="str">
            <v>N</v>
          </cell>
        </row>
        <row r="61">
          <cell r="A61" t="str">
            <v>Peak Demand Reduction (MW)</v>
          </cell>
          <cell r="B61" t="str">
            <v>H</v>
          </cell>
          <cell r="D61">
            <v>61.8</v>
          </cell>
          <cell r="E61" t="str">
            <v>é</v>
          </cell>
          <cell r="F61">
            <v>61.9</v>
          </cell>
          <cell r="J61">
            <v>61.9</v>
          </cell>
          <cell r="V61" t="str">
            <v>é</v>
          </cell>
          <cell r="W61" t="str">
            <v/>
          </cell>
          <cell r="Y61" t="str">
            <v>Q</v>
          </cell>
          <cell r="Z61" t="str">
            <v>N</v>
          </cell>
        </row>
        <row r="62">
          <cell r="A62" t="str">
            <v>Hazardous Waste</v>
          </cell>
          <cell r="B62" t="str">
            <v>L</v>
          </cell>
          <cell r="C62">
            <v>1.44</v>
          </cell>
          <cell r="D62">
            <v>3.59</v>
          </cell>
          <cell r="E62" t="str">
            <v>é</v>
          </cell>
          <cell r="F62">
            <v>2.16</v>
          </cell>
          <cell r="G62" t="str">
            <v xml:space="preserve"> </v>
          </cell>
          <cell r="H62" t="str">
            <v xml:space="preserve"> </v>
          </cell>
          <cell r="I62" t="str">
            <v xml:space="preserve"> </v>
          </cell>
          <cell r="V62" t="str">
            <v>é</v>
          </cell>
          <cell r="W62" t="str">
            <v>ê</v>
          </cell>
          <cell r="Y62" t="str">
            <v>Q</v>
          </cell>
          <cell r="Z62" t="str">
            <v>N</v>
          </cell>
        </row>
        <row r="63">
          <cell r="V63">
            <v>17</v>
          </cell>
          <cell r="W63">
            <v>13</v>
          </cell>
        </row>
        <row r="64">
          <cell r="A64" t="str">
            <v>On track to meet Target   é    Meeting Target at risk   çè    Not expected to meet Target   ê</v>
          </cell>
          <cell r="J64" t="str">
            <v>iPower</v>
          </cell>
          <cell r="L64" t="str">
            <v xml:space="preserve">LEGEND:    Monthly Status:        +  = Better than Plan,        o  = On Plan,        -  = Worse than Plan,      </v>
          </cell>
          <cell r="U64" t="str">
            <v>iPower</v>
          </cell>
          <cell r="V64">
            <v>0.39534883720930231</v>
          </cell>
          <cell r="W64">
            <v>0.35135135135135137</v>
          </cell>
          <cell r="Y64">
            <v>55</v>
          </cell>
          <cell r="Z64">
            <v>46</v>
          </cell>
        </row>
      </sheetData>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3"/>
      <sheetName val="TC101 &amp; 106 For Operations"/>
      <sheetName val="TC104"/>
      <sheetName val="TC101&amp; 106 FERC"/>
      <sheetName val="101 &amp;106 BY MON"/>
      <sheetName val="101 UPS"/>
      <sheetName val="101 Reconciliation"/>
      <sheetName val="101 BY MON "/>
      <sheetName val="1010040 Details"/>
      <sheetName val="101 Summary back up "/>
      <sheetName val="Unitization File"/>
      <sheetName val="Retirement file"/>
      <sheetName val="current mth adj - AC Doc"/>
      <sheetName val="prior  Adj"/>
      <sheetName val="106UPS"/>
      <sheetName val="106 Reconciliation "/>
      <sheetName val="106 Summary back up"/>
      <sheetName val="106 BY MON"/>
      <sheetName val="TC105"/>
      <sheetName val="105 Entry"/>
      <sheetName val="TC-105-BY MON"/>
      <sheetName val="105-Details "/>
      <sheetName val="TC-121-BY MON"/>
      <sheetName val="TC121"/>
      <sheetName val="Project Check list (2)"/>
      <sheetName val="TC-107-BY MON "/>
      <sheetName val="Net Transfer"/>
      <sheetName val="1070040 Details"/>
      <sheetName val="Adj Details"/>
      <sheetName val="107 inservice by work order"/>
      <sheetName val="107 by Asset Class"/>
      <sheetName val="TC107 -final"/>
      <sheetName val="TC107-Project Check list 2014"/>
      <sheetName val="check if not allocation"/>
      <sheetName val="project list"/>
      <sheetName val="new projects"/>
      <sheetName val="AFUDC Indicator"/>
      <sheetName val="pc"/>
      <sheetName val="sap vs pp"/>
      <sheetName val="Sheet2"/>
      <sheetName val="Sheet4"/>
      <sheetName val="Blanket Inidcator"/>
    </sheetNames>
    <sheetDataSet>
      <sheetData sheetId="0"/>
      <sheetData sheetId="1"/>
      <sheetData sheetId="2" refreshError="1"/>
      <sheetData sheetId="3"/>
      <sheetData sheetId="4"/>
      <sheetData sheetId="5">
        <row r="9">
          <cell r="B9" t="str">
            <v>C3903001</v>
          </cell>
          <cell r="C9" t="str">
            <v>IMPROVEMENTS OTHER THAN PARK PLAZA</v>
          </cell>
          <cell r="Q9">
            <v>0</v>
          </cell>
        </row>
        <row r="10">
          <cell r="B10" t="str">
            <v>C3911001</v>
          </cell>
          <cell r="C10" t="str">
            <v>OFFICE FURNITURE</v>
          </cell>
          <cell r="Q10">
            <v>0</v>
          </cell>
        </row>
        <row r="11">
          <cell r="B11" t="str">
            <v>C3912001</v>
          </cell>
          <cell r="C11" t="str">
            <v>OFFICE EQUIPMENT</v>
          </cell>
          <cell r="Q11">
            <v>0</v>
          </cell>
        </row>
        <row r="12">
          <cell r="B12" t="str">
            <v>C3913001</v>
          </cell>
          <cell r="C12" t="str">
            <v>OFFICE COMPUTER EQUIPMENT</v>
          </cell>
          <cell r="Q12">
            <v>0</v>
          </cell>
        </row>
        <row r="13">
          <cell r="B13" t="str">
            <v>C3921101</v>
          </cell>
          <cell r="C13" t="str">
            <v>TRANSPORT EQUIPMENT</v>
          </cell>
          <cell r="Q13">
            <v>0</v>
          </cell>
        </row>
        <row r="14">
          <cell r="B14" t="str">
            <v>C3922001</v>
          </cell>
          <cell r="C14" t="str">
            <v>TRANSPORT EQUIPMENT</v>
          </cell>
          <cell r="Q14">
            <v>0</v>
          </cell>
        </row>
        <row r="15">
          <cell r="B15" t="str">
            <v>C3930001</v>
          </cell>
          <cell r="C15" t="str">
            <v>STORES EQUIPMENT</v>
          </cell>
          <cell r="Q15">
            <v>0</v>
          </cell>
        </row>
        <row r="16">
          <cell r="B16" t="str">
            <v>C3940001</v>
          </cell>
          <cell r="C16" t="str">
            <v>TOOLS, SHOP AND GAR</v>
          </cell>
          <cell r="Q16">
            <v>0</v>
          </cell>
        </row>
        <row r="17">
          <cell r="B17" t="str">
            <v>C3950001</v>
          </cell>
          <cell r="C17" t="str">
            <v>LABORATORY EQUIPMENT</v>
          </cell>
          <cell r="Q17">
            <v>0</v>
          </cell>
        </row>
        <row r="18">
          <cell r="B18" t="str">
            <v>C3970001</v>
          </cell>
          <cell r="C18" t="str">
            <v>COMMUNICATION EQUIPMENT</v>
          </cell>
          <cell r="Q18">
            <v>0</v>
          </cell>
        </row>
        <row r="19">
          <cell r="B19" t="str">
            <v>C3980001</v>
          </cell>
          <cell r="C19" t="str">
            <v>MISCELLANEOUS EQUIPMENT</v>
          </cell>
          <cell r="Q19">
            <v>0</v>
          </cell>
        </row>
        <row r="20">
          <cell r="C20" t="str">
            <v>Transmission Common</v>
          </cell>
          <cell r="Q20">
            <v>0</v>
          </cell>
        </row>
        <row r="22">
          <cell r="B22" t="str">
            <v>E3030001</v>
          </cell>
          <cell r="C22" t="str">
            <v>Intangibles</v>
          </cell>
          <cell r="K22">
            <v>213829.98</v>
          </cell>
          <cell r="L22">
            <v>-213829.98</v>
          </cell>
          <cell r="Q22">
            <v>0</v>
          </cell>
        </row>
        <row r="24">
          <cell r="B24" t="str">
            <v>E3501001</v>
          </cell>
          <cell r="C24" t="str">
            <v>LAND AND LAND RIGHTS</v>
          </cell>
          <cell r="E24">
            <v>1309556.6299999999</v>
          </cell>
          <cell r="F24">
            <v>238461.20999999996</v>
          </cell>
          <cell r="G24">
            <v>115294.01</v>
          </cell>
          <cell r="H24">
            <v>403900.00500000268</v>
          </cell>
          <cell r="I24">
            <v>964264.75999999791</v>
          </cell>
          <cell r="J24">
            <v>1695615.2800000012</v>
          </cell>
          <cell r="K24">
            <v>-7174877.9299999997</v>
          </cell>
          <cell r="L24">
            <v>1866311.7</v>
          </cell>
          <cell r="M24">
            <v>-37127902.580000006</v>
          </cell>
          <cell r="N24">
            <v>696924.69</v>
          </cell>
          <cell r="O24">
            <v>-93139492.629999995</v>
          </cell>
          <cell r="P24">
            <v>-1930518.7399999998</v>
          </cell>
          <cell r="Q24">
            <v>-132082463.595</v>
          </cell>
        </row>
        <row r="25">
          <cell r="B25" t="str">
            <v>E3502001</v>
          </cell>
          <cell r="C25" t="str">
            <v>LIMITED TERM LAND</v>
          </cell>
          <cell r="P25">
            <v>2306308.4500000002</v>
          </cell>
          <cell r="Q25">
            <v>2306308.4500000002</v>
          </cell>
        </row>
        <row r="26">
          <cell r="B26" t="str">
            <v>E3503001</v>
          </cell>
          <cell r="C26" t="str">
            <v>SIDEWALKS &amp; CURBS</v>
          </cell>
          <cell r="F26">
            <v>0</v>
          </cell>
          <cell r="G26">
            <v>0</v>
          </cell>
          <cell r="H26">
            <v>0</v>
          </cell>
          <cell r="I26">
            <v>0</v>
          </cell>
          <cell r="J26">
            <v>0</v>
          </cell>
          <cell r="K26">
            <v>0</v>
          </cell>
          <cell r="M26">
            <v>0</v>
          </cell>
          <cell r="N26">
            <v>0</v>
          </cell>
          <cell r="O26">
            <v>0</v>
          </cell>
          <cell r="P26">
            <v>0</v>
          </cell>
          <cell r="Q26">
            <v>0</v>
          </cell>
        </row>
        <row r="27">
          <cell r="B27" t="str">
            <v>E3520001</v>
          </cell>
          <cell r="C27" t="str">
            <v>STRUCTURES &amp; IMPROVEMENTS</v>
          </cell>
          <cell r="E27">
            <v>-271430.55</v>
          </cell>
          <cell r="F27">
            <v>5410588.0150000006</v>
          </cell>
          <cell r="G27">
            <v>1113508.8400000001</v>
          </cell>
          <cell r="H27">
            <v>-1193363.5300000052</v>
          </cell>
          <cell r="I27">
            <v>1820553.9300000002</v>
          </cell>
          <cell r="J27">
            <v>1598327.7399999998</v>
          </cell>
          <cell r="K27">
            <v>-27696017.789999995</v>
          </cell>
          <cell r="L27">
            <v>1330624.77</v>
          </cell>
          <cell r="M27">
            <v>-43147327.849999972</v>
          </cell>
          <cell r="N27">
            <v>339807.64999999967</v>
          </cell>
          <cell r="O27">
            <v>11165204.5</v>
          </cell>
          <cell r="P27">
            <v>-84085570.609999999</v>
          </cell>
          <cell r="Q27">
            <v>-133615094.88499996</v>
          </cell>
        </row>
        <row r="28">
          <cell r="B28" t="str">
            <v>E3531001</v>
          </cell>
          <cell r="C28" t="str">
            <v>STATION EQUIPMENT (OTHER THAN YARDS</v>
          </cell>
          <cell r="E28">
            <v>6118644.71</v>
          </cell>
          <cell r="F28">
            <v>12966734.895</v>
          </cell>
          <cell r="G28">
            <v>18986891.519999985</v>
          </cell>
          <cell r="H28">
            <v>1299110.5899999849</v>
          </cell>
          <cell r="I28">
            <v>16517203.73</v>
          </cell>
          <cell r="J28">
            <v>-3334300.8699999992</v>
          </cell>
          <cell r="K28">
            <v>38256992.75</v>
          </cell>
          <cell r="L28">
            <v>-3861077.5</v>
          </cell>
          <cell r="M28">
            <v>47898054.919999994</v>
          </cell>
          <cell r="N28">
            <v>8441083.9100000001</v>
          </cell>
          <cell r="O28">
            <v>-17502303.077405985</v>
          </cell>
          <cell r="P28">
            <v>113331958.52</v>
          </cell>
          <cell r="Q28">
            <v>239118994.09759396</v>
          </cell>
        </row>
        <row r="29">
          <cell r="B29" t="str">
            <v>E3532001</v>
          </cell>
          <cell r="C29" t="str">
            <v>STATION EQUIPMENT (YARDS CREEK)</v>
          </cell>
          <cell r="F29">
            <v>0</v>
          </cell>
          <cell r="G29">
            <v>0</v>
          </cell>
          <cell r="H29">
            <v>0</v>
          </cell>
          <cell r="I29">
            <v>0</v>
          </cell>
          <cell r="J29">
            <v>0</v>
          </cell>
          <cell r="K29">
            <v>0</v>
          </cell>
          <cell r="M29">
            <v>0</v>
          </cell>
          <cell r="N29">
            <v>0</v>
          </cell>
          <cell r="O29">
            <v>0</v>
          </cell>
          <cell r="P29">
            <v>0</v>
          </cell>
          <cell r="Q29">
            <v>0</v>
          </cell>
        </row>
        <row r="30">
          <cell r="B30" t="str">
            <v>E3538001</v>
          </cell>
          <cell r="C30" t="str">
            <v>Spare &amp; Emergency Station Equipment</v>
          </cell>
          <cell r="E30">
            <v>79883.59</v>
          </cell>
          <cell r="F30">
            <v>2355.4699999999998</v>
          </cell>
          <cell r="G30">
            <v>51193.01</v>
          </cell>
          <cell r="H30">
            <v>-291356.03999999998</v>
          </cell>
          <cell r="I30">
            <v>1553853.84</v>
          </cell>
          <cell r="J30">
            <v>1612219.74</v>
          </cell>
          <cell r="K30">
            <v>131173.04999999999</v>
          </cell>
          <cell r="L30">
            <v>54470.46</v>
          </cell>
          <cell r="M30">
            <v>51428.56</v>
          </cell>
          <cell r="N30">
            <v>10541.36</v>
          </cell>
          <cell r="O30">
            <v>3829.9799999995157</v>
          </cell>
          <cell r="P30">
            <v>360.71</v>
          </cell>
          <cell r="Q30">
            <v>3259953.7299999995</v>
          </cell>
        </row>
        <row r="31">
          <cell r="B31" t="str">
            <v>E3540001</v>
          </cell>
          <cell r="C31" t="str">
            <v>TOWERS AND FIXTURES - 138, 230 RO 34</v>
          </cell>
          <cell r="E31">
            <v>8094.13</v>
          </cell>
          <cell r="F31">
            <v>142313.57999999999</v>
          </cell>
          <cell r="G31">
            <v>-4299.41</v>
          </cell>
          <cell r="H31">
            <v>5082947.2250000089</v>
          </cell>
          <cell r="I31">
            <v>1355252.24</v>
          </cell>
          <cell r="J31">
            <v>3031471.6417633398</v>
          </cell>
          <cell r="K31">
            <v>122383.25</v>
          </cell>
          <cell r="L31">
            <v>323042.96999999997</v>
          </cell>
          <cell r="M31">
            <v>-39791681.660000019</v>
          </cell>
          <cell r="N31">
            <v>163506.48000000001</v>
          </cell>
          <cell r="O31">
            <v>301172496.47000003</v>
          </cell>
          <cell r="P31">
            <v>14422449.1</v>
          </cell>
          <cell r="Q31">
            <v>286027976.01676339</v>
          </cell>
        </row>
        <row r="32">
          <cell r="B32" t="str">
            <v>E3541001</v>
          </cell>
          <cell r="C32" t="str">
            <v>TOWERS AND FIXTURES - TOWER FOUNDATION</v>
          </cell>
          <cell r="F32">
            <v>0</v>
          </cell>
          <cell r="G32">
            <v>0</v>
          </cell>
          <cell r="H32">
            <v>0</v>
          </cell>
          <cell r="I32">
            <v>0</v>
          </cell>
          <cell r="J32">
            <v>0</v>
          </cell>
          <cell r="K32">
            <v>0</v>
          </cell>
          <cell r="M32">
            <v>0</v>
          </cell>
          <cell r="N32">
            <v>0</v>
          </cell>
          <cell r="O32">
            <v>0</v>
          </cell>
          <cell r="P32">
            <v>0</v>
          </cell>
          <cell r="Q32">
            <v>0</v>
          </cell>
        </row>
        <row r="33">
          <cell r="B33" t="str">
            <v>E3542001</v>
          </cell>
          <cell r="C33" t="str">
            <v>TOWERS AND FIXTURES - TOWERS</v>
          </cell>
          <cell r="F33">
            <v>0</v>
          </cell>
          <cell r="G33">
            <v>0</v>
          </cell>
          <cell r="H33">
            <v>0</v>
          </cell>
          <cell r="I33">
            <v>0</v>
          </cell>
          <cell r="J33">
            <v>0</v>
          </cell>
          <cell r="K33">
            <v>0</v>
          </cell>
          <cell r="M33">
            <v>0</v>
          </cell>
          <cell r="N33">
            <v>0</v>
          </cell>
          <cell r="O33">
            <v>0</v>
          </cell>
          <cell r="P33">
            <v>0</v>
          </cell>
          <cell r="Q33">
            <v>0</v>
          </cell>
        </row>
        <row r="34">
          <cell r="B34" t="str">
            <v>E3551001</v>
          </cell>
          <cell r="C34" t="str">
            <v>POLES</v>
          </cell>
          <cell r="E34">
            <v>-1712.49</v>
          </cell>
          <cell r="F34">
            <v>123782.4800000001</v>
          </cell>
          <cell r="G34">
            <v>-4778.9300000001676</v>
          </cell>
          <cell r="H34">
            <v>4122.75</v>
          </cell>
          <cell r="I34">
            <v>357.01</v>
          </cell>
          <cell r="J34">
            <v>6906.51</v>
          </cell>
          <cell r="K34">
            <v>0</v>
          </cell>
          <cell r="L34">
            <v>2312.1999999999998</v>
          </cell>
          <cell r="M34">
            <v>63.37</v>
          </cell>
          <cell r="N34">
            <v>0</v>
          </cell>
          <cell r="O34">
            <v>0</v>
          </cell>
          <cell r="P34">
            <v>-8886618.1400000006</v>
          </cell>
          <cell r="Q34">
            <v>-8755565.2400000002</v>
          </cell>
        </row>
        <row r="35">
          <cell r="B35" t="str">
            <v>E3552001</v>
          </cell>
          <cell r="C35" t="str">
            <v>POLE FIXTURES</v>
          </cell>
          <cell r="F35">
            <v>0</v>
          </cell>
          <cell r="G35">
            <v>0</v>
          </cell>
          <cell r="H35">
            <v>0</v>
          </cell>
          <cell r="I35">
            <v>0</v>
          </cell>
          <cell r="J35">
            <v>0</v>
          </cell>
          <cell r="K35">
            <v>0</v>
          </cell>
          <cell r="M35">
            <v>0</v>
          </cell>
          <cell r="N35">
            <v>0</v>
          </cell>
          <cell r="O35">
            <v>0</v>
          </cell>
          <cell r="P35">
            <v>0</v>
          </cell>
          <cell r="Q35">
            <v>0</v>
          </cell>
        </row>
        <row r="36">
          <cell r="B36" t="str">
            <v>E3553001</v>
          </cell>
          <cell r="C36" t="str">
            <v>MASS PROPERTY POLES</v>
          </cell>
          <cell r="E36">
            <v>244047.45423554105</v>
          </cell>
          <cell r="F36">
            <v>103656.58000000002</v>
          </cell>
          <cell r="G36">
            <v>38252.070000002161</v>
          </cell>
          <cell r="H36">
            <v>40956.080000000002</v>
          </cell>
          <cell r="I36">
            <v>354059.8299999999</v>
          </cell>
          <cell r="J36">
            <v>919543.95999999915</v>
          </cell>
          <cell r="K36">
            <v>12780.45</v>
          </cell>
          <cell r="L36">
            <v>2306522.5</v>
          </cell>
          <cell r="M36">
            <v>-31719220.289999999</v>
          </cell>
          <cell r="N36">
            <v>1319850.43</v>
          </cell>
          <cell r="O36">
            <v>125773.3135312032</v>
          </cell>
          <cell r="P36">
            <v>1832055.8147880121</v>
          </cell>
          <cell r="Q36">
            <v>-24421721.807445243</v>
          </cell>
        </row>
        <row r="37">
          <cell r="B37" t="str">
            <v>E3554001</v>
          </cell>
          <cell r="C37" t="str">
            <v>69KV-E3554007-Pole Fixtures-TC10</v>
          </cell>
          <cell r="E37">
            <v>48598.78</v>
          </cell>
          <cell r="F37">
            <v>13008.219999999754</v>
          </cell>
          <cell r="G37">
            <v>-23834.13000000082</v>
          </cell>
          <cell r="H37">
            <v>19453.219999999998</v>
          </cell>
          <cell r="I37">
            <v>73806.569999999992</v>
          </cell>
          <cell r="J37">
            <v>12618.26</v>
          </cell>
          <cell r="K37">
            <v>-0.47000000000000242</v>
          </cell>
          <cell r="L37">
            <v>5717.89</v>
          </cell>
          <cell r="M37">
            <v>-8098.62</v>
          </cell>
          <cell r="N37">
            <v>4948.09</v>
          </cell>
          <cell r="O37">
            <v>153504.94</v>
          </cell>
          <cell r="P37">
            <v>234965.43000000002</v>
          </cell>
          <cell r="Q37">
            <v>534688.179999999</v>
          </cell>
        </row>
        <row r="38">
          <cell r="B38" t="str">
            <v>E3560001</v>
          </cell>
          <cell r="C38" t="str">
            <v>OVERHEAD CONDUCTORS AND DEVICES</v>
          </cell>
          <cell r="E38">
            <v>1772033.3199999966</v>
          </cell>
          <cell r="F38">
            <v>-1471830.6476856153</v>
          </cell>
          <cell r="G38">
            <v>1387629.6699999997</v>
          </cell>
          <cell r="H38">
            <v>7836252.9399999976</v>
          </cell>
          <cell r="I38">
            <v>4241564.7700000107</v>
          </cell>
          <cell r="J38">
            <v>16969246.691763297</v>
          </cell>
          <cell r="K38">
            <v>-22518491.189999968</v>
          </cell>
          <cell r="L38">
            <v>13882851.91</v>
          </cell>
          <cell r="M38">
            <v>84266080.190000027</v>
          </cell>
          <cell r="N38">
            <v>7055462.9299999978</v>
          </cell>
          <cell r="O38">
            <v>-220966431.97000003</v>
          </cell>
          <cell r="P38">
            <v>13152966.700000005</v>
          </cell>
          <cell r="Q38">
            <v>-94392664.685922295</v>
          </cell>
        </row>
        <row r="39">
          <cell r="B39" t="str">
            <v>E3561001</v>
          </cell>
          <cell r="C39" t="str">
            <v>69KV-E3561007-Overhead Conductors &amp; Devices-Tc10</v>
          </cell>
          <cell r="E39">
            <v>852526.43576445989</v>
          </cell>
          <cell r="F39">
            <v>500495.87999999989</v>
          </cell>
          <cell r="G39">
            <v>789192.51999999955</v>
          </cell>
          <cell r="H39">
            <v>324376.7</v>
          </cell>
          <cell r="I39">
            <v>686143.16834342002</v>
          </cell>
          <cell r="J39">
            <v>322905.01</v>
          </cell>
          <cell r="K39">
            <v>-461110.74999999988</v>
          </cell>
          <cell r="L39">
            <v>-312464.41000000003</v>
          </cell>
          <cell r="M39">
            <v>-45926.59</v>
          </cell>
          <cell r="N39">
            <v>272988.15999999997</v>
          </cell>
          <cell r="O39">
            <v>799045.05702540209</v>
          </cell>
          <cell r="P39">
            <v>-3333530.489087434</v>
          </cell>
          <cell r="Q39">
            <v>394640.69204584742</v>
          </cell>
        </row>
        <row r="40">
          <cell r="B40" t="str">
            <v>E3570001</v>
          </cell>
          <cell r="C40" t="str">
            <v>UNDERGROUND CONDUIT</v>
          </cell>
          <cell r="F40">
            <v>0</v>
          </cell>
          <cell r="G40">
            <v>0</v>
          </cell>
          <cell r="H40">
            <v>0</v>
          </cell>
          <cell r="I40">
            <v>0</v>
          </cell>
          <cell r="J40">
            <v>0</v>
          </cell>
          <cell r="K40">
            <v>0</v>
          </cell>
          <cell r="M40">
            <v>240726.77</v>
          </cell>
          <cell r="N40">
            <v>1750.97</v>
          </cell>
          <cell r="O40">
            <v>232.73</v>
          </cell>
          <cell r="P40">
            <v>826.74</v>
          </cell>
          <cell r="Q40">
            <v>243537.21</v>
          </cell>
        </row>
        <row r="41">
          <cell r="B41" t="str">
            <v>E3571001</v>
          </cell>
          <cell r="C41" t="str">
            <v>69KV-E3571007-Underground Conduit-TC10</v>
          </cell>
          <cell r="E41">
            <v>75109.440000000002</v>
          </cell>
          <cell r="F41">
            <v>-3258.15</v>
          </cell>
          <cell r="G41">
            <v>43552.390000000596</v>
          </cell>
          <cell r="H41">
            <v>423.46</v>
          </cell>
          <cell r="I41">
            <v>3322.82</v>
          </cell>
          <cell r="J41">
            <v>22.79</v>
          </cell>
          <cell r="K41">
            <v>16840.780000000002</v>
          </cell>
          <cell r="L41">
            <v>1853.76</v>
          </cell>
          <cell r="M41">
            <v>4.7299999999999995</v>
          </cell>
          <cell r="N41">
            <v>1253.6299999999999</v>
          </cell>
          <cell r="O41">
            <v>355428.22</v>
          </cell>
          <cell r="P41">
            <v>3602.7142994174187</v>
          </cell>
          <cell r="Q41">
            <v>498156.58429941797</v>
          </cell>
        </row>
        <row r="42">
          <cell r="B42" t="str">
            <v>E3580001</v>
          </cell>
          <cell r="C42" t="str">
            <v>UNDERGROUND CONDUCTORS AND DEVICES</v>
          </cell>
          <cell r="E42">
            <v>997760.4700000002</v>
          </cell>
          <cell r="F42">
            <v>494597.79</v>
          </cell>
          <cell r="G42">
            <v>127070.44</v>
          </cell>
          <cell r="H42">
            <v>943578.77</v>
          </cell>
          <cell r="I42">
            <v>126162.26999999955</v>
          </cell>
          <cell r="J42">
            <v>67588.269999999553</v>
          </cell>
          <cell r="K42">
            <v>100323.77</v>
          </cell>
          <cell r="L42">
            <v>2724472.43</v>
          </cell>
          <cell r="M42">
            <v>33684837.280000001</v>
          </cell>
          <cell r="N42">
            <v>294293.38</v>
          </cell>
          <cell r="O42">
            <v>23896598.789999999</v>
          </cell>
          <cell r="P42">
            <v>7296845.9199999999</v>
          </cell>
          <cell r="Q42">
            <v>70754129.579999998</v>
          </cell>
        </row>
        <row r="43">
          <cell r="B43" t="str">
            <v>E3582001</v>
          </cell>
          <cell r="C43" t="str">
            <v>69KV-E3582007-Undrgnd Cond&amp;Devics(Conv)-Tc10</v>
          </cell>
          <cell r="E43">
            <v>36231.32</v>
          </cell>
          <cell r="F43">
            <v>2432027.38</v>
          </cell>
          <cell r="G43">
            <v>-92890.529999999329</v>
          </cell>
          <cell r="H43">
            <v>19081.989999999998</v>
          </cell>
          <cell r="I43">
            <v>1088516.0716565801</v>
          </cell>
          <cell r="J43">
            <v>606208.93000000005</v>
          </cell>
          <cell r="K43">
            <v>2109.5699999999997</v>
          </cell>
          <cell r="L43">
            <v>-1676465.8199999998</v>
          </cell>
          <cell r="M43">
            <v>45144.509999999995</v>
          </cell>
          <cell r="N43">
            <v>38253.69</v>
          </cell>
          <cell r="O43">
            <v>266208.56944338785</v>
          </cell>
          <cell r="P43">
            <v>-2514433.5299999835</v>
          </cell>
          <cell r="Q43">
            <v>249992.151099985</v>
          </cell>
        </row>
        <row r="44">
          <cell r="B44" t="str">
            <v>E3583001</v>
          </cell>
          <cell r="C44" t="str">
            <v>69KV-E3583007-Undrgnd Cond&amp;Dev(Buried)-TC10</v>
          </cell>
          <cell r="E44">
            <v>12.41</v>
          </cell>
          <cell r="F44">
            <v>0</v>
          </cell>
          <cell r="G44">
            <v>0</v>
          </cell>
          <cell r="H44">
            <v>1221.49</v>
          </cell>
          <cell r="I44">
            <v>5.42</v>
          </cell>
          <cell r="J44">
            <v>0</v>
          </cell>
          <cell r="K44">
            <v>0</v>
          </cell>
          <cell r="L44">
            <v>0</v>
          </cell>
          <cell r="M44">
            <v>1663.61</v>
          </cell>
          <cell r="N44">
            <v>0</v>
          </cell>
          <cell r="O44">
            <v>0</v>
          </cell>
          <cell r="P44">
            <v>0</v>
          </cell>
          <cell r="Q44">
            <v>2902.9300000000003</v>
          </cell>
        </row>
        <row r="45">
          <cell r="B45" t="str">
            <v>E3588001</v>
          </cell>
          <cell r="C45" t="str">
            <v>UNDERGROUND CONDUCTORS AND DEVICES</v>
          </cell>
          <cell r="G45">
            <v>0</v>
          </cell>
          <cell r="H45">
            <v>0</v>
          </cell>
          <cell r="I45">
            <v>0</v>
          </cell>
          <cell r="J45">
            <v>0</v>
          </cell>
          <cell r="K45">
            <v>0</v>
          </cell>
          <cell r="M45">
            <v>0</v>
          </cell>
          <cell r="N45">
            <v>0</v>
          </cell>
          <cell r="O45">
            <v>0</v>
          </cell>
          <cell r="P45">
            <v>0</v>
          </cell>
          <cell r="Q45">
            <v>0</v>
          </cell>
        </row>
        <row r="46">
          <cell r="B46" t="str">
            <v>E3590001</v>
          </cell>
          <cell r="C46" t="str">
            <v>ROADS AND TRAILS</v>
          </cell>
          <cell r="H46">
            <v>394166.99</v>
          </cell>
          <cell r="I46">
            <v>0</v>
          </cell>
          <cell r="J46">
            <v>0</v>
          </cell>
          <cell r="K46">
            <v>0</v>
          </cell>
          <cell r="L46">
            <v>0</v>
          </cell>
          <cell r="M46">
            <v>0</v>
          </cell>
          <cell r="N46">
            <v>0</v>
          </cell>
          <cell r="O46">
            <v>0</v>
          </cell>
          <cell r="P46">
            <v>0</v>
          </cell>
          <cell r="Q46">
            <v>394166.99</v>
          </cell>
        </row>
        <row r="47">
          <cell r="C47" t="str">
            <v>Transmission Plant</v>
          </cell>
          <cell r="E47">
            <v>11269355.649999997</v>
          </cell>
          <cell r="F47">
            <v>20952932.702314377</v>
          </cell>
          <cell r="G47">
            <v>22526781.469999991</v>
          </cell>
          <cell r="H47">
            <v>14884872.639999989</v>
          </cell>
          <cell r="I47">
            <v>28785066.430000011</v>
          </cell>
          <cell r="J47">
            <v>23508373.953526638</v>
          </cell>
          <cell r="K47">
            <v>-19207894.509999964</v>
          </cell>
          <cell r="L47">
            <v>16648172.859999999</v>
          </cell>
          <cell r="M47">
            <v>14347846.350000022</v>
          </cell>
          <cell r="N47">
            <v>18640665.369999997</v>
          </cell>
          <cell r="O47">
            <v>6330094.8925940115</v>
          </cell>
          <cell r="P47">
            <v>51831668.590000011</v>
          </cell>
          <cell r="Q47">
            <v>210517936.39843506</v>
          </cell>
        </row>
        <row r="49">
          <cell r="B49" t="str">
            <v>E3891001</v>
          </cell>
          <cell r="C49" t="str">
            <v>LAND AND LAND RIGHTS</v>
          </cell>
          <cell r="J49">
            <v>0</v>
          </cell>
          <cell r="L49">
            <v>0</v>
          </cell>
          <cell r="M49">
            <v>0</v>
          </cell>
          <cell r="N49">
            <v>0</v>
          </cell>
          <cell r="O49">
            <v>0</v>
          </cell>
          <cell r="Q49">
            <v>0</v>
          </cell>
        </row>
        <row r="50">
          <cell r="B50" t="str">
            <v>E3900001</v>
          </cell>
          <cell r="C50" t="str">
            <v>STRUCTURES AND IMPROVEMENTS</v>
          </cell>
          <cell r="J50">
            <v>0</v>
          </cell>
          <cell r="L50">
            <v>0</v>
          </cell>
          <cell r="M50">
            <v>0</v>
          </cell>
          <cell r="N50">
            <v>0</v>
          </cell>
          <cell r="O50">
            <v>0</v>
          </cell>
          <cell r="Q50">
            <v>0</v>
          </cell>
        </row>
        <row r="51">
          <cell r="B51" t="str">
            <v>E3901001</v>
          </cell>
          <cell r="C51" t="str">
            <v>PARK PLAZA IMPROVEMENTS</v>
          </cell>
          <cell r="J51">
            <v>0</v>
          </cell>
          <cell r="L51">
            <v>0</v>
          </cell>
          <cell r="M51">
            <v>0</v>
          </cell>
          <cell r="N51">
            <v>0</v>
          </cell>
          <cell r="O51">
            <v>0</v>
          </cell>
          <cell r="Q51">
            <v>0</v>
          </cell>
        </row>
        <row r="52">
          <cell r="B52" t="str">
            <v>E3911001</v>
          </cell>
          <cell r="C52" t="str">
            <v>FURNITURE EQUIPMENT</v>
          </cell>
          <cell r="E52">
            <v>19703.14</v>
          </cell>
          <cell r="H52">
            <v>4792.75</v>
          </cell>
          <cell r="J52">
            <v>0</v>
          </cell>
          <cell r="L52">
            <v>0</v>
          </cell>
          <cell r="M52">
            <v>0</v>
          </cell>
          <cell r="N52">
            <v>496729.36</v>
          </cell>
          <cell r="O52">
            <v>390428.15999999997</v>
          </cell>
          <cell r="P52">
            <v>128784.61</v>
          </cell>
          <cell r="Q52">
            <v>1040438.0199999999</v>
          </cell>
        </row>
        <row r="53">
          <cell r="B53" t="str">
            <v>E3912001</v>
          </cell>
          <cell r="C53" t="str">
            <v>OFFICE EQUIPMENT</v>
          </cell>
          <cell r="E53">
            <v>12429</v>
          </cell>
          <cell r="F53">
            <v>20944</v>
          </cell>
          <cell r="H53">
            <v>25601</v>
          </cell>
          <cell r="I53">
            <v>2507</v>
          </cell>
          <cell r="J53">
            <v>0</v>
          </cell>
          <cell r="L53">
            <v>253231.82</v>
          </cell>
          <cell r="M53">
            <v>0</v>
          </cell>
          <cell r="N53">
            <v>1652</v>
          </cell>
          <cell r="O53">
            <v>98456.69</v>
          </cell>
          <cell r="P53">
            <v>17931.88</v>
          </cell>
          <cell r="Q53">
            <v>432753.39</v>
          </cell>
        </row>
        <row r="54">
          <cell r="B54" t="str">
            <v>E3913101</v>
          </cell>
          <cell r="C54" t="str">
            <v>COMPUTER EQUIPMENT</v>
          </cell>
          <cell r="H54">
            <v>2068.4899999999998</v>
          </cell>
          <cell r="I54">
            <v>27168</v>
          </cell>
          <cell r="J54">
            <v>0</v>
          </cell>
          <cell r="K54">
            <v>4311</v>
          </cell>
          <cell r="L54">
            <v>991.55</v>
          </cell>
          <cell r="M54">
            <v>12988.390000000014</v>
          </cell>
          <cell r="N54">
            <v>0</v>
          </cell>
          <cell r="O54">
            <v>0</v>
          </cell>
          <cell r="P54">
            <v>49309</v>
          </cell>
          <cell r="Q54">
            <v>96836.430000000022</v>
          </cell>
        </row>
        <row r="55">
          <cell r="B55" t="str">
            <v>E3913301</v>
          </cell>
          <cell r="C55" t="str">
            <v>COMPUTER</v>
          </cell>
          <cell r="F55">
            <v>7480</v>
          </cell>
          <cell r="G55">
            <v>7483</v>
          </cell>
          <cell r="H55">
            <v>17952</v>
          </cell>
          <cell r="I55">
            <v>56.97</v>
          </cell>
          <cell r="J55">
            <v>1607</v>
          </cell>
          <cell r="K55">
            <v>0</v>
          </cell>
          <cell r="L55">
            <v>0</v>
          </cell>
          <cell r="M55">
            <v>0</v>
          </cell>
          <cell r="N55">
            <v>0</v>
          </cell>
          <cell r="O55">
            <v>0</v>
          </cell>
          <cell r="Q55">
            <v>34578.97</v>
          </cell>
        </row>
        <row r="56">
          <cell r="B56" t="str">
            <v>E3921001</v>
          </cell>
          <cell r="C56" t="str">
            <v>TRANSPORTATION EQUIPMENT 13K lb</v>
          </cell>
          <cell r="H56">
            <v>0</v>
          </cell>
          <cell r="I56">
            <v>45.56</v>
          </cell>
          <cell r="J56">
            <v>0</v>
          </cell>
          <cell r="K56">
            <v>0</v>
          </cell>
          <cell r="L56">
            <v>0</v>
          </cell>
          <cell r="M56">
            <v>0</v>
          </cell>
          <cell r="N56">
            <v>-9638</v>
          </cell>
          <cell r="O56">
            <v>628163.5</v>
          </cell>
          <cell r="P56">
            <v>340390.33</v>
          </cell>
          <cell r="Q56">
            <v>958961.39000000013</v>
          </cell>
        </row>
        <row r="57">
          <cell r="B57" t="str">
            <v>E3922001</v>
          </cell>
          <cell r="C57" t="str">
            <v>TRANSPORTATION EQUIPMENT over 13K lb</v>
          </cell>
          <cell r="F57">
            <v>5010.6000000000931</v>
          </cell>
          <cell r="H57">
            <v>0</v>
          </cell>
          <cell r="J57">
            <v>167542.73000000001</v>
          </cell>
          <cell r="K57">
            <v>1522.8999999999942</v>
          </cell>
          <cell r="L57">
            <v>0</v>
          </cell>
          <cell r="M57">
            <v>0</v>
          </cell>
          <cell r="N57">
            <v>1354.57</v>
          </cell>
          <cell r="O57">
            <v>0</v>
          </cell>
          <cell r="P57">
            <v>0</v>
          </cell>
          <cell r="Q57">
            <v>175430.8000000001</v>
          </cell>
        </row>
        <row r="58">
          <cell r="B58" t="str">
            <v>E3923001</v>
          </cell>
          <cell r="C58" t="str">
            <v>HELICOPTERS</v>
          </cell>
          <cell r="H58">
            <v>0</v>
          </cell>
          <cell r="J58">
            <v>0</v>
          </cell>
          <cell r="L58">
            <v>0</v>
          </cell>
          <cell r="M58">
            <v>0</v>
          </cell>
          <cell r="N58">
            <v>0</v>
          </cell>
          <cell r="O58">
            <v>0</v>
          </cell>
          <cell r="Q58">
            <v>0</v>
          </cell>
        </row>
        <row r="59">
          <cell r="B59" t="str">
            <v>E3930001</v>
          </cell>
          <cell r="C59" t="str">
            <v>STORES EQUIPMENT</v>
          </cell>
          <cell r="H59">
            <v>0</v>
          </cell>
          <cell r="J59">
            <v>0</v>
          </cell>
          <cell r="L59">
            <v>158521.06</v>
          </cell>
          <cell r="M59">
            <v>499.59</v>
          </cell>
          <cell r="N59">
            <v>0</v>
          </cell>
          <cell r="O59">
            <v>0</v>
          </cell>
          <cell r="Q59">
            <v>159020.65</v>
          </cell>
        </row>
        <row r="60">
          <cell r="B60" t="str">
            <v>E3940001</v>
          </cell>
          <cell r="C60" t="str">
            <v>TOOLS, SHOP, GARAGE EQUIPMENT</v>
          </cell>
          <cell r="H60">
            <v>184105.96000000002</v>
          </cell>
          <cell r="I60">
            <v>11632.01</v>
          </cell>
          <cell r="J60">
            <v>0</v>
          </cell>
          <cell r="L60">
            <v>0</v>
          </cell>
          <cell r="M60">
            <v>0</v>
          </cell>
          <cell r="N60">
            <v>366980.85000000003</v>
          </cell>
          <cell r="O60">
            <v>-319152</v>
          </cell>
          <cell r="P60">
            <v>356386.56999999995</v>
          </cell>
          <cell r="Q60">
            <v>599953.39</v>
          </cell>
        </row>
        <row r="61">
          <cell r="B61" t="str">
            <v>E3950001</v>
          </cell>
          <cell r="C61" t="str">
            <v>Laboratory Equipment</v>
          </cell>
          <cell r="H61">
            <v>0</v>
          </cell>
          <cell r="J61">
            <v>0</v>
          </cell>
          <cell r="L61">
            <v>0</v>
          </cell>
          <cell r="M61">
            <v>0</v>
          </cell>
          <cell r="N61">
            <v>0</v>
          </cell>
          <cell r="O61">
            <v>0</v>
          </cell>
          <cell r="Q61">
            <v>0</v>
          </cell>
        </row>
        <row r="62">
          <cell r="B62" t="str">
            <v>E3960001</v>
          </cell>
          <cell r="C62" t="str">
            <v>POWER OPERATED EQUIPMENT</v>
          </cell>
          <cell r="F62">
            <v>908288.03</v>
          </cell>
          <cell r="H62">
            <v>0</v>
          </cell>
          <cell r="I62">
            <v>654315.11</v>
          </cell>
          <cell r="J62">
            <v>0</v>
          </cell>
          <cell r="L62">
            <v>0</v>
          </cell>
          <cell r="M62">
            <v>0</v>
          </cell>
          <cell r="N62">
            <v>0</v>
          </cell>
          <cell r="O62">
            <v>0</v>
          </cell>
          <cell r="P62">
            <v>15974.65</v>
          </cell>
          <cell r="Q62">
            <v>1578577.79</v>
          </cell>
        </row>
        <row r="63">
          <cell r="B63" t="str">
            <v>E3970001</v>
          </cell>
          <cell r="C63" t="str">
            <v>COMMUNICATION EQUIPMENT</v>
          </cell>
          <cell r="H63">
            <v>256.53999999999996</v>
          </cell>
          <cell r="J63">
            <v>0</v>
          </cell>
          <cell r="L63">
            <v>0</v>
          </cell>
          <cell r="M63">
            <v>627.00000000000728</v>
          </cell>
          <cell r="N63">
            <v>1824</v>
          </cell>
          <cell r="O63">
            <v>238153.87</v>
          </cell>
          <cell r="P63">
            <v>62478</v>
          </cell>
          <cell r="Q63">
            <v>303339.41000000003</v>
          </cell>
        </row>
        <row r="64">
          <cell r="B64" t="str">
            <v>E3980001</v>
          </cell>
          <cell r="C64" t="str">
            <v>MISCELLANEOUS EQUIPMENT</v>
          </cell>
          <cell r="E64">
            <v>-368.95</v>
          </cell>
          <cell r="J64">
            <v>0</v>
          </cell>
          <cell r="L64">
            <v>0</v>
          </cell>
          <cell r="M64">
            <v>0</v>
          </cell>
          <cell r="N64">
            <v>0</v>
          </cell>
          <cell r="O64">
            <v>0</v>
          </cell>
          <cell r="Q64">
            <v>-368.95</v>
          </cell>
        </row>
        <row r="77">
          <cell r="B77" t="str">
            <v>C3903001</v>
          </cell>
          <cell r="C77" t="str">
            <v>IMPROVEMENTS OTHER T</v>
          </cell>
          <cell r="Q77">
            <v>0</v>
          </cell>
        </row>
        <row r="78">
          <cell r="B78" t="str">
            <v>C3911001</v>
          </cell>
          <cell r="C78" t="str">
            <v>OFFICE FURNITURE</v>
          </cell>
          <cell r="Q78">
            <v>0</v>
          </cell>
        </row>
        <row r="79">
          <cell r="B79" t="str">
            <v>C3912001</v>
          </cell>
          <cell r="C79" t="str">
            <v>OFFICE EQUIPMENT</v>
          </cell>
          <cell r="Q79">
            <v>0</v>
          </cell>
        </row>
        <row r="80">
          <cell r="B80" t="str">
            <v>C3913001</v>
          </cell>
          <cell r="C80" t="str">
            <v>OFFICE COMPUTER EQUIPMENT</v>
          </cell>
          <cell r="Q80">
            <v>0</v>
          </cell>
        </row>
        <row r="81">
          <cell r="B81" t="str">
            <v>C3921101</v>
          </cell>
          <cell r="C81" t="str">
            <v>TRANSPORT EQUIPMENT</v>
          </cell>
          <cell r="Q81">
            <v>0</v>
          </cell>
        </row>
        <row r="82">
          <cell r="B82" t="str">
            <v>C3922001</v>
          </cell>
          <cell r="C82" t="str">
            <v>TRANSPORT EQUIPMENT</v>
          </cell>
          <cell r="Q82">
            <v>0</v>
          </cell>
        </row>
        <row r="83">
          <cell r="B83" t="str">
            <v>C3930001</v>
          </cell>
          <cell r="C83" t="str">
            <v>STORES EQUIPMENT</v>
          </cell>
          <cell r="Q83">
            <v>0</v>
          </cell>
        </row>
        <row r="84">
          <cell r="B84" t="str">
            <v>C3940001</v>
          </cell>
          <cell r="C84" t="str">
            <v>TOOLS, SHOP AND GAR</v>
          </cell>
          <cell r="Q84">
            <v>0</v>
          </cell>
        </row>
        <row r="85">
          <cell r="B85" t="str">
            <v>C3950001</v>
          </cell>
          <cell r="C85" t="str">
            <v>LABORATORY EQUIPMENT</v>
          </cell>
          <cell r="Q85">
            <v>0</v>
          </cell>
        </row>
        <row r="86">
          <cell r="B86" t="str">
            <v>C3970001</v>
          </cell>
          <cell r="C86" t="str">
            <v>COMMUNICATION EQUIPMENT</v>
          </cell>
          <cell r="Q86">
            <v>0</v>
          </cell>
        </row>
        <row r="87">
          <cell r="B87" t="str">
            <v>C3980001</v>
          </cell>
          <cell r="C87" t="str">
            <v>MISCELLANEOUS EQUIPMENT</v>
          </cell>
          <cell r="Q87">
            <v>0</v>
          </cell>
        </row>
        <row r="88">
          <cell r="C88" t="str">
            <v>Transmission Common</v>
          </cell>
          <cell r="E88">
            <v>0</v>
          </cell>
          <cell r="F88">
            <v>0</v>
          </cell>
          <cell r="G88">
            <v>0</v>
          </cell>
          <cell r="H88">
            <v>0</v>
          </cell>
          <cell r="I88">
            <v>0</v>
          </cell>
          <cell r="J88">
            <v>0</v>
          </cell>
          <cell r="K88">
            <v>0</v>
          </cell>
          <cell r="L88">
            <v>0</v>
          </cell>
          <cell r="M88">
            <v>0</v>
          </cell>
          <cell r="N88">
            <v>0</v>
          </cell>
          <cell r="O88">
            <v>0</v>
          </cell>
          <cell r="P88">
            <v>0</v>
          </cell>
          <cell r="Q88">
            <v>0</v>
          </cell>
        </row>
        <row r="90">
          <cell r="B90" t="str">
            <v>E3030001</v>
          </cell>
          <cell r="C90" t="str">
            <v>INTANGIBLES</v>
          </cell>
          <cell r="Q90">
            <v>0</v>
          </cell>
        </row>
        <row r="92">
          <cell r="B92" t="str">
            <v>E3501001</v>
          </cell>
          <cell r="C92" t="str">
            <v>LAND AND LAND RIGHTS</v>
          </cell>
          <cell r="E92">
            <v>0</v>
          </cell>
          <cell r="F92">
            <v>1087920.3</v>
          </cell>
          <cell r="G92">
            <v>0</v>
          </cell>
          <cell r="H92">
            <v>37758252.784999996</v>
          </cell>
          <cell r="I92">
            <v>0</v>
          </cell>
          <cell r="J92">
            <v>0</v>
          </cell>
          <cell r="K92">
            <v>73504303.689999998</v>
          </cell>
          <cell r="L92">
            <v>0</v>
          </cell>
          <cell r="M92">
            <v>104685.84</v>
          </cell>
          <cell r="N92">
            <v>0</v>
          </cell>
          <cell r="P92">
            <v>1998870.4999999998</v>
          </cell>
          <cell r="Q92">
            <v>114454033.11499999</v>
          </cell>
        </row>
        <row r="93">
          <cell r="B93" t="str">
            <v>E3502001</v>
          </cell>
          <cell r="C93" t="str">
            <v>LIMITED TERM LAND</v>
          </cell>
        </row>
        <row r="94">
          <cell r="B94" t="str">
            <v>E3503001</v>
          </cell>
          <cell r="C94" t="str">
            <v>SIDEWALKS &amp; CURBS</v>
          </cell>
          <cell r="F94">
            <v>0</v>
          </cell>
          <cell r="H94">
            <v>0</v>
          </cell>
          <cell r="I94">
            <v>0</v>
          </cell>
          <cell r="J94">
            <v>0</v>
          </cell>
          <cell r="L94">
            <v>0</v>
          </cell>
          <cell r="M94">
            <v>0</v>
          </cell>
          <cell r="O94">
            <v>149825.30000000005</v>
          </cell>
          <cell r="Q94">
            <v>149825.30000000005</v>
          </cell>
        </row>
        <row r="95">
          <cell r="B95" t="str">
            <v>E3520001</v>
          </cell>
          <cell r="C95" t="str">
            <v>STRUCTURES &amp; IMPROVEMENTS</v>
          </cell>
          <cell r="E95">
            <v>0</v>
          </cell>
          <cell r="F95">
            <v>30183458.625</v>
          </cell>
          <cell r="G95">
            <v>7518.4999999999964</v>
          </cell>
          <cell r="H95">
            <v>56705306.260000005</v>
          </cell>
          <cell r="I95">
            <v>85592.18</v>
          </cell>
          <cell r="J95">
            <v>2307067.35</v>
          </cell>
          <cell r="K95">
            <v>0</v>
          </cell>
          <cell r="L95">
            <v>0</v>
          </cell>
          <cell r="M95">
            <v>87303571.74999997</v>
          </cell>
          <cell r="N95">
            <v>1530534.0100000002</v>
          </cell>
          <cell r="O95">
            <v>53859422.319999993</v>
          </cell>
          <cell r="P95">
            <v>270241.69</v>
          </cell>
          <cell r="Q95">
            <v>232252712.68499994</v>
          </cell>
        </row>
        <row r="96">
          <cell r="B96" t="str">
            <v>E3531001</v>
          </cell>
          <cell r="C96" t="str">
            <v>STATION EQUIPMENT (OTHER THAN YARDS</v>
          </cell>
          <cell r="E96">
            <v>29710021.689999998</v>
          </cell>
          <cell r="F96">
            <v>37895033.714999996</v>
          </cell>
          <cell r="G96">
            <v>38985998.939999998</v>
          </cell>
          <cell r="H96">
            <v>191232213.29999998</v>
          </cell>
          <cell r="I96">
            <v>24516381.739999998</v>
          </cell>
          <cell r="J96">
            <v>48420323.309999995</v>
          </cell>
          <cell r="K96">
            <v>22067748.27</v>
          </cell>
          <cell r="L96">
            <v>33683827.480000004</v>
          </cell>
          <cell r="M96">
            <v>2379564.3199999998</v>
          </cell>
          <cell r="N96">
            <v>17382110.52</v>
          </cell>
          <cell r="O96">
            <v>0</v>
          </cell>
          <cell r="P96">
            <v>61919764.269999996</v>
          </cell>
          <cell r="Q96">
            <v>508192987.55499995</v>
          </cell>
        </row>
        <row r="97">
          <cell r="B97" t="str">
            <v>E3532001</v>
          </cell>
          <cell r="C97" t="str">
            <v>STATION EQUIPMENT (YARDS CREEK)</v>
          </cell>
          <cell r="F97">
            <v>0</v>
          </cell>
          <cell r="H97">
            <v>0</v>
          </cell>
          <cell r="I97">
            <v>0</v>
          </cell>
          <cell r="J97">
            <v>0</v>
          </cell>
          <cell r="L97">
            <v>0</v>
          </cell>
          <cell r="M97">
            <v>0</v>
          </cell>
          <cell r="O97">
            <v>4476796.0500000007</v>
          </cell>
          <cell r="Q97">
            <v>4476796.0500000007</v>
          </cell>
        </row>
        <row r="98">
          <cell r="B98" t="str">
            <v>E3538001</v>
          </cell>
          <cell r="C98" t="str">
            <v>Spare &amp; Emergency Station Equipment</v>
          </cell>
          <cell r="E98">
            <v>0</v>
          </cell>
          <cell r="F98">
            <v>0</v>
          </cell>
          <cell r="G98">
            <v>0</v>
          </cell>
          <cell r="H98">
            <v>0</v>
          </cell>
          <cell r="I98">
            <v>0</v>
          </cell>
          <cell r="J98">
            <v>0</v>
          </cell>
          <cell r="K98">
            <v>0</v>
          </cell>
          <cell r="L98">
            <v>0</v>
          </cell>
          <cell r="M98">
            <v>0</v>
          </cell>
          <cell r="N98">
            <v>0</v>
          </cell>
          <cell r="O98">
            <v>0</v>
          </cell>
          <cell r="P98">
            <v>0</v>
          </cell>
          <cell r="Q98">
            <v>0</v>
          </cell>
        </row>
        <row r="99">
          <cell r="B99" t="str">
            <v>E3540001</v>
          </cell>
          <cell r="C99" t="str">
            <v>TOWERS AND FIXTURES - 138, 230 RO 34</v>
          </cell>
          <cell r="E99">
            <v>0</v>
          </cell>
          <cell r="F99">
            <v>0</v>
          </cell>
          <cell r="G99">
            <v>0</v>
          </cell>
          <cell r="H99">
            <v>89862993.754999995</v>
          </cell>
          <cell r="I99">
            <v>0</v>
          </cell>
          <cell r="J99">
            <v>3541326.8182366597</v>
          </cell>
          <cell r="K99">
            <v>0</v>
          </cell>
          <cell r="L99">
            <v>0</v>
          </cell>
          <cell r="M99">
            <v>0</v>
          </cell>
          <cell r="N99">
            <v>0</v>
          </cell>
          <cell r="O99">
            <v>0</v>
          </cell>
          <cell r="P99">
            <v>0</v>
          </cell>
          <cell r="Q99">
            <v>93404320.573236659</v>
          </cell>
        </row>
        <row r="100">
          <cell r="B100" t="str">
            <v>E3541001</v>
          </cell>
          <cell r="C100" t="str">
            <v>TOWERS AND FIXTURES - TOWER FOUNDATION</v>
          </cell>
          <cell r="F100">
            <v>0</v>
          </cell>
          <cell r="H100">
            <v>0</v>
          </cell>
          <cell r="I100">
            <v>0</v>
          </cell>
          <cell r="J100">
            <v>0</v>
          </cell>
          <cell r="L100">
            <v>0</v>
          </cell>
          <cell r="M100">
            <v>0</v>
          </cell>
          <cell r="O100">
            <v>0</v>
          </cell>
          <cell r="Q100">
            <v>0</v>
          </cell>
        </row>
        <row r="101">
          <cell r="B101" t="str">
            <v>E3542001</v>
          </cell>
          <cell r="C101" t="str">
            <v>TOWERS AND FIXTURES - TOWERS</v>
          </cell>
          <cell r="F101">
            <v>0</v>
          </cell>
          <cell r="H101">
            <v>0</v>
          </cell>
          <cell r="I101">
            <v>0</v>
          </cell>
          <cell r="J101">
            <v>0</v>
          </cell>
          <cell r="L101">
            <v>0</v>
          </cell>
          <cell r="M101">
            <v>0</v>
          </cell>
          <cell r="O101">
            <v>0</v>
          </cell>
          <cell r="Q101">
            <v>0</v>
          </cell>
        </row>
        <row r="102">
          <cell r="B102" t="str">
            <v>E3551001</v>
          </cell>
          <cell r="C102" t="str">
            <v>POLES</v>
          </cell>
          <cell r="E102">
            <v>0</v>
          </cell>
          <cell r="F102">
            <v>883771.45</v>
          </cell>
          <cell r="G102">
            <v>3569234.45</v>
          </cell>
          <cell r="H102">
            <v>208190.17</v>
          </cell>
          <cell r="I102">
            <v>0</v>
          </cell>
          <cell r="J102">
            <v>0</v>
          </cell>
          <cell r="K102">
            <v>0</v>
          </cell>
          <cell r="L102">
            <v>0</v>
          </cell>
          <cell r="M102">
            <v>0</v>
          </cell>
          <cell r="N102">
            <v>0</v>
          </cell>
          <cell r="O102">
            <v>0</v>
          </cell>
          <cell r="P102">
            <v>0</v>
          </cell>
          <cell r="Q102">
            <v>4661196.07</v>
          </cell>
        </row>
        <row r="103">
          <cell r="B103" t="str">
            <v>E3552001</v>
          </cell>
          <cell r="C103" t="str">
            <v>POLE FIXTRUES</v>
          </cell>
          <cell r="F103">
            <v>0</v>
          </cell>
          <cell r="H103">
            <v>0</v>
          </cell>
          <cell r="I103">
            <v>0</v>
          </cell>
          <cell r="J103">
            <v>0</v>
          </cell>
          <cell r="L103">
            <v>0</v>
          </cell>
          <cell r="M103">
            <v>0</v>
          </cell>
          <cell r="O103">
            <v>15389808.646468796</v>
          </cell>
          <cell r="Q103">
            <v>15389808.646468796</v>
          </cell>
        </row>
        <row r="104">
          <cell r="B104" t="str">
            <v>E3553001</v>
          </cell>
          <cell r="C104" t="str">
            <v>MASS PROPERTY POLES</v>
          </cell>
          <cell r="E104">
            <v>699115.41576445894</v>
          </cell>
          <cell r="F104">
            <v>116362.09</v>
          </cell>
          <cell r="G104">
            <v>0</v>
          </cell>
          <cell r="H104">
            <v>0</v>
          </cell>
          <cell r="I104">
            <v>1308473.22</v>
          </cell>
          <cell r="J104">
            <v>32771567.289999984</v>
          </cell>
          <cell r="K104">
            <v>0</v>
          </cell>
          <cell r="L104">
            <v>47987489.299999997</v>
          </cell>
          <cell r="M104">
            <v>0</v>
          </cell>
          <cell r="N104">
            <v>0</v>
          </cell>
          <cell r="O104">
            <v>0</v>
          </cell>
          <cell r="P104">
            <v>5807176.9052119879</v>
          </cell>
          <cell r="Q104">
            <v>88690184.220976427</v>
          </cell>
        </row>
        <row r="105">
          <cell r="B105" t="str">
            <v>E3554001</v>
          </cell>
          <cell r="C105" t="str">
            <v>69KV-E3554007-Pole Fixtures-TC10</v>
          </cell>
          <cell r="E105">
            <v>0</v>
          </cell>
          <cell r="F105">
            <v>45698.170000000246</v>
          </cell>
          <cell r="G105">
            <v>0</v>
          </cell>
          <cell r="H105">
            <v>0</v>
          </cell>
          <cell r="I105">
            <v>0</v>
          </cell>
          <cell r="J105">
            <v>0</v>
          </cell>
          <cell r="K105">
            <v>0</v>
          </cell>
          <cell r="L105">
            <v>0</v>
          </cell>
          <cell r="M105">
            <v>0</v>
          </cell>
          <cell r="N105">
            <v>0</v>
          </cell>
          <cell r="O105">
            <v>17638962.98</v>
          </cell>
          <cell r="P105">
            <v>0</v>
          </cell>
          <cell r="Q105">
            <v>17684661.150000002</v>
          </cell>
        </row>
        <row r="106">
          <cell r="B106" t="str">
            <v>E3560001</v>
          </cell>
          <cell r="C106" t="str">
            <v>OVERHEAD CONDUCTORS AND DEVICES</v>
          </cell>
          <cell r="E106">
            <v>20191403.170000002</v>
          </cell>
          <cell r="F106">
            <v>7226580.8676856151</v>
          </cell>
          <cell r="G106">
            <v>3182547.4899999998</v>
          </cell>
          <cell r="H106">
            <v>141488819.90000001</v>
          </cell>
          <cell r="I106">
            <v>91766272.349999994</v>
          </cell>
          <cell r="J106">
            <v>65208145.718236655</v>
          </cell>
          <cell r="K106">
            <v>149325317.21999997</v>
          </cell>
          <cell r="L106">
            <v>1881193.06</v>
          </cell>
          <cell r="M106">
            <v>840507.09000000078</v>
          </cell>
          <cell r="N106">
            <v>31751566.920000002</v>
          </cell>
          <cell r="O106">
            <v>10545366.362974597</v>
          </cell>
          <cell r="P106">
            <v>15539744.669999996</v>
          </cell>
          <cell r="Q106">
            <v>538947464.81889677</v>
          </cell>
        </row>
        <row r="107">
          <cell r="B107" t="str">
            <v>E3561001</v>
          </cell>
          <cell r="C107" t="str">
            <v>69KV-E3561007-Overhead Conductors &amp; Devices-Tc10</v>
          </cell>
          <cell r="E107">
            <v>1540134.8842355399</v>
          </cell>
          <cell r="F107">
            <v>1959149.13</v>
          </cell>
          <cell r="G107">
            <v>0</v>
          </cell>
          <cell r="H107">
            <v>0</v>
          </cell>
          <cell r="I107">
            <v>1917358.8516565801</v>
          </cell>
          <cell r="J107">
            <v>0</v>
          </cell>
          <cell r="K107">
            <v>0</v>
          </cell>
          <cell r="L107">
            <v>0</v>
          </cell>
          <cell r="M107">
            <v>0</v>
          </cell>
          <cell r="N107">
            <v>199386.18000000002</v>
          </cell>
          <cell r="O107">
            <v>0</v>
          </cell>
          <cell r="P107">
            <v>34861910.409087434</v>
          </cell>
          <cell r="Q107">
            <v>40477939.454979554</v>
          </cell>
        </row>
        <row r="108">
          <cell r="B108" t="str">
            <v>E3570001</v>
          </cell>
          <cell r="C108" t="str">
            <v>UNDERGROUND CONDUIT</v>
          </cell>
          <cell r="F108">
            <v>0</v>
          </cell>
          <cell r="H108">
            <v>0</v>
          </cell>
          <cell r="I108">
            <v>0</v>
          </cell>
          <cell r="J108">
            <v>0</v>
          </cell>
          <cell r="L108">
            <v>0</v>
          </cell>
          <cell r="M108">
            <v>0</v>
          </cell>
          <cell r="O108">
            <v>0</v>
          </cell>
          <cell r="Q108">
            <v>0</v>
          </cell>
        </row>
        <row r="109">
          <cell r="B109" t="str">
            <v>E3571001</v>
          </cell>
          <cell r="C109" t="str">
            <v>69KV-E3571007-Underground Conduit-TC10</v>
          </cell>
          <cell r="E109">
            <v>0</v>
          </cell>
          <cell r="F109">
            <v>0</v>
          </cell>
          <cell r="G109">
            <v>0</v>
          </cell>
          <cell r="H109">
            <v>0</v>
          </cell>
          <cell r="I109">
            <v>0</v>
          </cell>
          <cell r="J109">
            <v>0</v>
          </cell>
          <cell r="K109">
            <v>0</v>
          </cell>
          <cell r="L109">
            <v>0</v>
          </cell>
          <cell r="M109">
            <v>0</v>
          </cell>
          <cell r="N109">
            <v>0</v>
          </cell>
          <cell r="O109">
            <v>0</v>
          </cell>
          <cell r="P109">
            <v>239938.04570058259</v>
          </cell>
          <cell r="Q109">
            <v>239938.04570058259</v>
          </cell>
        </row>
        <row r="110">
          <cell r="B110" t="str">
            <v>E3580001</v>
          </cell>
          <cell r="C110" t="str">
            <v>UNDERGROUND CONDUCTORS AND DEVICES</v>
          </cell>
          <cell r="E110">
            <v>4087055.86</v>
          </cell>
          <cell r="F110">
            <v>0</v>
          </cell>
          <cell r="G110">
            <v>0</v>
          </cell>
          <cell r="H110">
            <v>0</v>
          </cell>
          <cell r="I110">
            <v>0</v>
          </cell>
          <cell r="J110">
            <v>905252.51</v>
          </cell>
          <cell r="K110">
            <v>0</v>
          </cell>
          <cell r="L110">
            <v>0</v>
          </cell>
          <cell r="M110">
            <v>0</v>
          </cell>
          <cell r="N110">
            <v>0</v>
          </cell>
          <cell r="O110">
            <v>1031864.9605566121</v>
          </cell>
          <cell r="P110">
            <v>0</v>
          </cell>
          <cell r="Q110">
            <v>6024173.3305566125</v>
          </cell>
        </row>
        <row r="111">
          <cell r="B111" t="str">
            <v>E3582001</v>
          </cell>
          <cell r="C111" t="str">
            <v>69KV-E3582007-Undrgnd Cond&amp;Devics(Conv)-Tc10</v>
          </cell>
          <cell r="E111">
            <v>0</v>
          </cell>
          <cell r="F111">
            <v>0</v>
          </cell>
          <cell r="G111">
            <v>2649551.1</v>
          </cell>
          <cell r="H111">
            <v>0</v>
          </cell>
          <cell r="I111">
            <v>9911313.0583434198</v>
          </cell>
          <cell r="J111">
            <v>0</v>
          </cell>
          <cell r="K111">
            <v>0</v>
          </cell>
          <cell r="L111">
            <v>0</v>
          </cell>
          <cell r="M111">
            <v>0</v>
          </cell>
          <cell r="N111">
            <v>0</v>
          </cell>
          <cell r="O111">
            <v>0</v>
          </cell>
          <cell r="P111">
            <v>61297662.429999985</v>
          </cell>
          <cell r="Q111">
            <v>73858526.588343412</v>
          </cell>
        </row>
        <row r="112">
          <cell r="B112" t="str">
            <v>E3583001</v>
          </cell>
          <cell r="C112" t="str">
            <v>69KV-E3583007-Undrgnd Cond&amp;Dev(Buried)-TC10</v>
          </cell>
          <cell r="E112">
            <v>0</v>
          </cell>
          <cell r="F112">
            <v>0</v>
          </cell>
          <cell r="G112">
            <v>0</v>
          </cell>
          <cell r="H112">
            <v>0</v>
          </cell>
          <cell r="I112">
            <v>0</v>
          </cell>
          <cell r="J112">
            <v>0</v>
          </cell>
          <cell r="K112">
            <v>0</v>
          </cell>
          <cell r="L112">
            <v>0</v>
          </cell>
          <cell r="M112">
            <v>0</v>
          </cell>
          <cell r="N112">
            <v>0</v>
          </cell>
          <cell r="O112">
            <v>0</v>
          </cell>
          <cell r="P112">
            <v>0</v>
          </cell>
          <cell r="Q112">
            <v>0</v>
          </cell>
        </row>
        <row r="113">
          <cell r="B113" t="str">
            <v>E3588001</v>
          </cell>
          <cell r="C113" t="str">
            <v>UNDERGROUND CONDUCTORS AND DEVICES</v>
          </cell>
          <cell r="H113">
            <v>0</v>
          </cell>
          <cell r="I113">
            <v>0</v>
          </cell>
          <cell r="J113">
            <v>0</v>
          </cell>
          <cell r="L113">
            <v>0</v>
          </cell>
          <cell r="M113">
            <v>0</v>
          </cell>
          <cell r="Q113">
            <v>0</v>
          </cell>
        </row>
        <row r="114">
          <cell r="B114" t="str">
            <v>E3590001</v>
          </cell>
          <cell r="C114" t="str">
            <v>ROADS AND TRAILS</v>
          </cell>
          <cell r="H114">
            <v>0</v>
          </cell>
          <cell r="I114">
            <v>0</v>
          </cell>
          <cell r="J114">
            <v>0</v>
          </cell>
          <cell r="L114">
            <v>0</v>
          </cell>
          <cell r="M114">
            <v>0</v>
          </cell>
          <cell r="Q114">
            <v>0</v>
          </cell>
        </row>
        <row r="115">
          <cell r="C115" t="str">
            <v>Transmission Plant</v>
          </cell>
          <cell r="E115">
            <v>56227731.019999996</v>
          </cell>
          <cell r="F115">
            <v>79397974.34768562</v>
          </cell>
          <cell r="G115">
            <v>48394850.480000004</v>
          </cell>
          <cell r="H115">
            <v>517255776.16999996</v>
          </cell>
          <cell r="I115">
            <v>129505391.40000001</v>
          </cell>
          <cell r="J115">
            <v>153153682.99647328</v>
          </cell>
          <cell r="K115">
            <v>244897369.17999995</v>
          </cell>
          <cell r="L115">
            <v>83552509.840000004</v>
          </cell>
          <cell r="M115">
            <v>90628328.99999997</v>
          </cell>
          <cell r="N115">
            <v>50863597.630000003</v>
          </cell>
          <cell r="O115">
            <v>103092046.61999999</v>
          </cell>
          <cell r="P115">
            <v>181935308.91999999</v>
          </cell>
          <cell r="Q115">
            <v>1738904567.6041589</v>
          </cell>
        </row>
        <row r="117">
          <cell r="B117" t="str">
            <v>E3891001</v>
          </cell>
          <cell r="C117" t="str">
            <v>LAND AND LAND RIGHTS</v>
          </cell>
          <cell r="Q117">
            <v>0</v>
          </cell>
        </row>
        <row r="118">
          <cell r="B118" t="str">
            <v>E3900001</v>
          </cell>
          <cell r="C118" t="str">
            <v>STRUCTURES AND IMPROVEMENTS</v>
          </cell>
          <cell r="Q118">
            <v>0</v>
          </cell>
        </row>
        <row r="119">
          <cell r="B119" t="str">
            <v>E3901001</v>
          </cell>
          <cell r="C119" t="str">
            <v>PARK PLAZA IMPROVEMENTS</v>
          </cell>
          <cell r="Q119">
            <v>0</v>
          </cell>
        </row>
        <row r="120">
          <cell r="B120" t="str">
            <v>E3911001</v>
          </cell>
          <cell r="C120" t="str">
            <v>FURNITURE EQUIPMENT</v>
          </cell>
          <cell r="Q120">
            <v>0</v>
          </cell>
        </row>
        <row r="121">
          <cell r="B121" t="str">
            <v>E3912001</v>
          </cell>
          <cell r="C121" t="str">
            <v>OFFICE EQUIPMENT</v>
          </cell>
          <cell r="Q121">
            <v>0</v>
          </cell>
        </row>
        <row r="122">
          <cell r="B122" t="str">
            <v>E3913101</v>
          </cell>
          <cell r="C122" t="str">
            <v>COMPUTER EQUIPMENT</v>
          </cell>
          <cell r="Q122">
            <v>0</v>
          </cell>
        </row>
        <row r="123">
          <cell r="B123" t="str">
            <v>E3913301</v>
          </cell>
          <cell r="C123" t="str">
            <v>COMPUTER</v>
          </cell>
          <cell r="Q123">
            <v>0</v>
          </cell>
        </row>
        <row r="124">
          <cell r="B124" t="str">
            <v>E3921001</v>
          </cell>
          <cell r="C124" t="str">
            <v>TRANSPORTATION EQUIPMENT 13K lb</v>
          </cell>
          <cell r="Q124">
            <v>0</v>
          </cell>
        </row>
        <row r="125">
          <cell r="B125" t="str">
            <v>E3922001</v>
          </cell>
          <cell r="C125" t="str">
            <v>TRANSPORTATION EQUIPMENT over 13K lb</v>
          </cell>
          <cell r="Q125">
            <v>0</v>
          </cell>
        </row>
        <row r="126">
          <cell r="B126" t="str">
            <v>E3923001</v>
          </cell>
          <cell r="C126" t="str">
            <v>HELICOPTERS</v>
          </cell>
          <cell r="Q126">
            <v>0</v>
          </cell>
        </row>
        <row r="127">
          <cell r="B127" t="str">
            <v>E3930001</v>
          </cell>
          <cell r="C127" t="str">
            <v>STORES EQUIPMENT</v>
          </cell>
          <cell r="Q127">
            <v>0</v>
          </cell>
        </row>
        <row r="128">
          <cell r="B128" t="str">
            <v>E3940001</v>
          </cell>
          <cell r="C128" t="str">
            <v>TOOLS, SHOP, GARAGE EQUIPMENT</v>
          </cell>
          <cell r="Q128">
            <v>0</v>
          </cell>
        </row>
        <row r="129">
          <cell r="B129" t="str">
            <v>E3950001</v>
          </cell>
          <cell r="C129" t="str">
            <v>LABORATORY EQUIPMENT</v>
          </cell>
          <cell r="Q129">
            <v>0</v>
          </cell>
        </row>
        <row r="130">
          <cell r="B130" t="str">
            <v>E3960001</v>
          </cell>
          <cell r="C130" t="str">
            <v>POWER OPERATED EQUIPMENT</v>
          </cell>
          <cell r="Q130">
            <v>0</v>
          </cell>
        </row>
        <row r="131">
          <cell r="B131" t="str">
            <v>E3970001</v>
          </cell>
          <cell r="C131" t="str">
            <v>COMMUNICATION EQUIPMENT</v>
          </cell>
          <cell r="Q131">
            <v>0</v>
          </cell>
        </row>
        <row r="132">
          <cell r="B132" t="str">
            <v>E3980001</v>
          </cell>
          <cell r="C132" t="str">
            <v>MISCELLANEOUS EQUIPMENT</v>
          </cell>
          <cell r="M132">
            <v>44900.039999999994</v>
          </cell>
          <cell r="Q132">
            <v>44900.039999999994</v>
          </cell>
        </row>
        <row r="145">
          <cell r="B145" t="str">
            <v>C3903001</v>
          </cell>
          <cell r="C145" t="str">
            <v>IMPROVEMENTS OTHER T</v>
          </cell>
          <cell r="Q145">
            <v>0</v>
          </cell>
        </row>
        <row r="146">
          <cell r="B146" t="str">
            <v>C3911001</v>
          </cell>
          <cell r="C146" t="str">
            <v>OFFICE FURNITURE</v>
          </cell>
          <cell r="Q146">
            <v>0</v>
          </cell>
        </row>
        <row r="147">
          <cell r="B147" t="str">
            <v>C3912001</v>
          </cell>
          <cell r="C147" t="str">
            <v>OFFICE EQUIPMENT</v>
          </cell>
          <cell r="Q147">
            <v>0</v>
          </cell>
        </row>
        <row r="148">
          <cell r="B148" t="str">
            <v>C3913001</v>
          </cell>
          <cell r="C148" t="str">
            <v>OFFICE COMPUTER EQUIPMENT</v>
          </cell>
          <cell r="Q148">
            <v>0</v>
          </cell>
        </row>
        <row r="149">
          <cell r="B149" t="str">
            <v>C3921101</v>
          </cell>
          <cell r="C149" t="str">
            <v>TRANSPORT EQUIPMENT</v>
          </cell>
          <cell r="Q149">
            <v>0</v>
          </cell>
        </row>
        <row r="150">
          <cell r="B150" t="str">
            <v>C3922001</v>
          </cell>
          <cell r="C150" t="str">
            <v>TRANSPORT EQUIPMENT</v>
          </cell>
          <cell r="Q150">
            <v>0</v>
          </cell>
        </row>
        <row r="151">
          <cell r="B151" t="str">
            <v>C3930001</v>
          </cell>
          <cell r="C151" t="str">
            <v>STORES EQUIPMENT</v>
          </cell>
          <cell r="Q151">
            <v>0</v>
          </cell>
        </row>
        <row r="152">
          <cell r="B152" t="str">
            <v>C3940001</v>
          </cell>
          <cell r="C152" t="str">
            <v>TOOLS, SHOP AND GAR</v>
          </cell>
          <cell r="Q152">
            <v>0</v>
          </cell>
        </row>
        <row r="153">
          <cell r="B153" t="str">
            <v>C3950001</v>
          </cell>
          <cell r="C153" t="str">
            <v>LABORATORY EQUIPMENT</v>
          </cell>
          <cell r="Q153">
            <v>0</v>
          </cell>
        </row>
        <row r="154">
          <cell r="B154" t="str">
            <v>C3970001</v>
          </cell>
          <cell r="C154" t="str">
            <v>COMMUNICATION EQUIPMENT</v>
          </cell>
          <cell r="Q154">
            <v>0</v>
          </cell>
        </row>
        <row r="155">
          <cell r="B155" t="str">
            <v>C3980001</v>
          </cell>
          <cell r="C155" t="str">
            <v>MISCELLANEOUS EQUIPMENT</v>
          </cell>
          <cell r="Q155">
            <v>0</v>
          </cell>
        </row>
        <row r="156">
          <cell r="C156" t="str">
            <v>Transmission Common Plant</v>
          </cell>
          <cell r="E156">
            <v>0</v>
          </cell>
          <cell r="F156">
            <v>0</v>
          </cell>
          <cell r="G156">
            <v>0</v>
          </cell>
          <cell r="H156">
            <v>0</v>
          </cell>
          <cell r="I156">
            <v>0</v>
          </cell>
          <cell r="J156">
            <v>0</v>
          </cell>
          <cell r="K156">
            <v>0</v>
          </cell>
          <cell r="L156">
            <v>0</v>
          </cell>
          <cell r="M156">
            <v>0</v>
          </cell>
          <cell r="N156">
            <v>0</v>
          </cell>
          <cell r="O156">
            <v>0</v>
          </cell>
          <cell r="P156">
            <v>0</v>
          </cell>
          <cell r="Q156">
            <v>0</v>
          </cell>
        </row>
        <row r="158">
          <cell r="B158" t="str">
            <v>E3030001</v>
          </cell>
          <cell r="C158" t="str">
            <v>Intangibles</v>
          </cell>
          <cell r="Q158">
            <v>0</v>
          </cell>
        </row>
        <row r="160">
          <cell r="B160" t="str">
            <v>E3501001</v>
          </cell>
          <cell r="C160" t="str">
            <v>LAND AND LAND RIGHTS</v>
          </cell>
          <cell r="G160">
            <v>0</v>
          </cell>
          <cell r="K160">
            <v>-23803367.379999999</v>
          </cell>
          <cell r="M160">
            <v>219890.88000001013</v>
          </cell>
          <cell r="N160">
            <v>-7195.83</v>
          </cell>
          <cell r="O160">
            <v>23803367.379999999</v>
          </cell>
          <cell r="P160">
            <v>-20681559.569999997</v>
          </cell>
          <cell r="Q160">
            <v>-20468864.519999985</v>
          </cell>
        </row>
        <row r="161">
          <cell r="B161" t="str">
            <v>E3502001</v>
          </cell>
          <cell r="C161" t="str">
            <v>LIMITED TERM LAND</v>
          </cell>
          <cell r="Q161">
            <v>0</v>
          </cell>
        </row>
        <row r="162">
          <cell r="B162" t="str">
            <v>E3503001</v>
          </cell>
          <cell r="C162" t="str">
            <v>SIDEWALKS &amp; CURBS</v>
          </cell>
          <cell r="M162">
            <v>0</v>
          </cell>
          <cell r="N162">
            <v>7195.83</v>
          </cell>
          <cell r="Q162">
            <v>7195.83</v>
          </cell>
        </row>
        <row r="163">
          <cell r="B163" t="str">
            <v>E3520001</v>
          </cell>
          <cell r="C163" t="str">
            <v>STRUCTURES &amp; IMPROVEMENTS</v>
          </cell>
          <cell r="G163">
            <v>0</v>
          </cell>
          <cell r="M163">
            <v>0</v>
          </cell>
          <cell r="Q163">
            <v>0</v>
          </cell>
        </row>
        <row r="164">
          <cell r="B164" t="str">
            <v>E3531001</v>
          </cell>
          <cell r="C164" t="str">
            <v>STATION EQUIPMENT (OTHER THAN YARDS</v>
          </cell>
          <cell r="E164">
            <v>-2353676.86</v>
          </cell>
          <cell r="F164">
            <v>-296046.99</v>
          </cell>
          <cell r="G164">
            <v>1111292.3999999999</v>
          </cell>
          <cell r="I164">
            <v>-1203062</v>
          </cell>
          <cell r="M164">
            <v>0</v>
          </cell>
          <cell r="Q164">
            <v>-2741493.4499999997</v>
          </cell>
        </row>
        <row r="165">
          <cell r="B165" t="str">
            <v>E3532001</v>
          </cell>
          <cell r="C165" t="str">
            <v>STATION EQUIPMENT (YARDS CREEK)</v>
          </cell>
          <cell r="G165">
            <v>0</v>
          </cell>
          <cell r="M165">
            <v>0</v>
          </cell>
          <cell r="Q165">
            <v>0</v>
          </cell>
        </row>
        <row r="166">
          <cell r="B166" t="str">
            <v>E3538001</v>
          </cell>
          <cell r="C166" t="str">
            <v>Spare &amp; Emergency Station Equipment</v>
          </cell>
          <cell r="G166">
            <v>0</v>
          </cell>
          <cell r="M166">
            <v>0</v>
          </cell>
          <cell r="Q166">
            <v>0</v>
          </cell>
        </row>
        <row r="167">
          <cell r="B167" t="str">
            <v>E3540001</v>
          </cell>
          <cell r="C167" t="str">
            <v>TOWERS AND FIXTURES - 138, 230 RO 34</v>
          </cell>
          <cell r="G167">
            <v>0</v>
          </cell>
          <cell r="M167">
            <v>416879.65000003576</v>
          </cell>
          <cell r="Q167">
            <v>416879.65000003576</v>
          </cell>
        </row>
        <row r="168">
          <cell r="B168" t="str">
            <v>E3541001</v>
          </cell>
          <cell r="C168" t="str">
            <v>TOWERS AND FIXTURES - TOWER FOUNDATION</v>
          </cell>
          <cell r="G168">
            <v>0</v>
          </cell>
          <cell r="M168">
            <v>0</v>
          </cell>
          <cell r="Q168">
            <v>0</v>
          </cell>
        </row>
        <row r="169">
          <cell r="B169" t="str">
            <v>E3542001</v>
          </cell>
          <cell r="C169" t="str">
            <v>TOWERS AND FIXTURES - TOWERS</v>
          </cell>
          <cell r="G169">
            <v>0</v>
          </cell>
          <cell r="M169">
            <v>0</v>
          </cell>
          <cell r="Q169">
            <v>0</v>
          </cell>
        </row>
        <row r="170">
          <cell r="B170" t="str">
            <v>E3551001</v>
          </cell>
          <cell r="C170" t="str">
            <v>POLES</v>
          </cell>
          <cell r="G170">
            <v>0</v>
          </cell>
          <cell r="M170">
            <v>0</v>
          </cell>
          <cell r="Q170">
            <v>0</v>
          </cell>
        </row>
        <row r="171">
          <cell r="B171" t="str">
            <v>E3552001</v>
          </cell>
          <cell r="C171" t="str">
            <v>POLE FIXTURES</v>
          </cell>
          <cell r="G171">
            <v>0</v>
          </cell>
          <cell r="M171">
            <v>0</v>
          </cell>
          <cell r="Q171">
            <v>0</v>
          </cell>
        </row>
        <row r="172">
          <cell r="B172" t="str">
            <v>E3553001</v>
          </cell>
          <cell r="C172" t="str">
            <v>MASS PROPERTY POLES</v>
          </cell>
          <cell r="G172">
            <v>-468482.35000000335</v>
          </cell>
          <cell r="M172">
            <v>0</v>
          </cell>
          <cell r="Q172">
            <v>-468482.35000000335</v>
          </cell>
        </row>
        <row r="173">
          <cell r="B173" t="str">
            <v>E3554001</v>
          </cell>
          <cell r="C173" t="str">
            <v>69KV-E3554007-Pole Fixtures-TC10</v>
          </cell>
          <cell r="G173">
            <v>114792.88000000035</v>
          </cell>
          <cell r="M173">
            <v>0</v>
          </cell>
          <cell r="Q173">
            <v>114792.88000000035</v>
          </cell>
        </row>
        <row r="174">
          <cell r="B174" t="str">
            <v>E3560001</v>
          </cell>
          <cell r="C174" t="str">
            <v>OVERHEAD CONDUCTORS AND DEVICES</v>
          </cell>
          <cell r="G174">
            <v>-2966657.2699999996</v>
          </cell>
          <cell r="M174">
            <v>0</v>
          </cell>
          <cell r="Q174">
            <v>-2966657.2699999996</v>
          </cell>
        </row>
        <row r="175">
          <cell r="B175" t="str">
            <v>E3561001</v>
          </cell>
          <cell r="C175" t="str">
            <v>69KV-E3561007-Overhead Conductors &amp; Devices-Tc10</v>
          </cell>
          <cell r="G175">
            <v>-114167.88999999315</v>
          </cell>
          <cell r="M175">
            <v>0</v>
          </cell>
          <cell r="Q175">
            <v>-114167.88999999315</v>
          </cell>
        </row>
        <row r="176">
          <cell r="B176" t="str">
            <v>E3570001</v>
          </cell>
          <cell r="C176" t="str">
            <v>UNDERGROUND CONDUIT</v>
          </cell>
          <cell r="G176">
            <v>0</v>
          </cell>
          <cell r="M176">
            <v>-416879.65</v>
          </cell>
          <cell r="Q176">
            <v>-416879.65</v>
          </cell>
        </row>
        <row r="177">
          <cell r="B177" t="str">
            <v>E3571001</v>
          </cell>
          <cell r="C177" t="str">
            <v>69KV-E3571007-Underground Conduit-TC10</v>
          </cell>
          <cell r="G177">
            <v>-71089.640000000596</v>
          </cell>
          <cell r="M177">
            <v>0</v>
          </cell>
          <cell r="Q177">
            <v>-71089.640000000596</v>
          </cell>
        </row>
        <row r="178">
          <cell r="B178" t="str">
            <v>E3580001</v>
          </cell>
          <cell r="C178" t="str">
            <v>UNDERGROUND CONDUCTORS AND DEVICES</v>
          </cell>
          <cell r="G178">
            <v>-1520.6100000000001</v>
          </cell>
          <cell r="K178">
            <v>23803367.379999999</v>
          </cell>
          <cell r="M178">
            <v>0</v>
          </cell>
          <cell r="O178">
            <v>-23803367.379999999</v>
          </cell>
          <cell r="Q178">
            <v>-1520.609999999404</v>
          </cell>
        </row>
        <row r="179">
          <cell r="B179" t="str">
            <v>E3582001</v>
          </cell>
          <cell r="C179" t="str">
            <v>69KV-E3582007-Undrgnd Cond&amp;Devics(Conv)-Tc10</v>
          </cell>
          <cell r="G179">
            <v>3507214.67</v>
          </cell>
          <cell r="M179">
            <v>0</v>
          </cell>
          <cell r="Q179">
            <v>3507214.67</v>
          </cell>
        </row>
        <row r="180">
          <cell r="B180" t="str">
            <v>E3583001</v>
          </cell>
          <cell r="C180" t="str">
            <v>69KV-E3583007-Undrgnd Cond&amp;Dev(Buried)-TC10</v>
          </cell>
          <cell r="G180">
            <v>-89.790000000037253</v>
          </cell>
          <cell r="M180">
            <v>0</v>
          </cell>
          <cell r="Q180">
            <v>-89.790000000037253</v>
          </cell>
        </row>
        <row r="181">
          <cell r="B181" t="str">
            <v>E3588001</v>
          </cell>
          <cell r="C181" t="str">
            <v>UNDERGROUND CONDUCTORS AND DEVICES</v>
          </cell>
          <cell r="G181">
            <v>0</v>
          </cell>
          <cell r="M181">
            <v>0</v>
          </cell>
          <cell r="Q181">
            <v>0</v>
          </cell>
        </row>
        <row r="182">
          <cell r="B182" t="str">
            <v>E3590001</v>
          </cell>
          <cell r="C182" t="str">
            <v>ROADS AND TRAILS</v>
          </cell>
          <cell r="G182">
            <v>0</v>
          </cell>
          <cell r="M182">
            <v>0</v>
          </cell>
          <cell r="Q182">
            <v>0</v>
          </cell>
        </row>
        <row r="183">
          <cell r="C183" t="str">
            <v>Transmission Plant</v>
          </cell>
          <cell r="E183">
            <v>-2353676.86</v>
          </cell>
          <cell r="F183">
            <v>-296046.99</v>
          </cell>
          <cell r="G183">
            <v>1111292.4000000036</v>
          </cell>
          <cell r="H183">
            <v>0</v>
          </cell>
          <cell r="I183">
            <v>-1203062</v>
          </cell>
          <cell r="J183">
            <v>0</v>
          </cell>
          <cell r="K183">
            <v>0</v>
          </cell>
          <cell r="L183">
            <v>0</v>
          </cell>
          <cell r="M183">
            <v>219890.88000004587</v>
          </cell>
          <cell r="N183">
            <v>0</v>
          </cell>
          <cell r="O183">
            <v>0</v>
          </cell>
          <cell r="P183">
            <v>-20681559.569999997</v>
          </cell>
          <cell r="Q183">
            <v>-23203162.139999941</v>
          </cell>
        </row>
        <row r="185">
          <cell r="B185" t="str">
            <v>E3891001</v>
          </cell>
          <cell r="C185" t="str">
            <v>LAND AND LAND RIGHTS</v>
          </cell>
          <cell r="Q185">
            <v>0</v>
          </cell>
        </row>
        <row r="186">
          <cell r="B186" t="str">
            <v>E3900001</v>
          </cell>
          <cell r="C186" t="str">
            <v>STRUCTURES AND IMPROVEMENTS</v>
          </cell>
          <cell r="Q186">
            <v>0</v>
          </cell>
        </row>
        <row r="187">
          <cell r="B187" t="str">
            <v>E3901001</v>
          </cell>
          <cell r="C187" t="str">
            <v>PARK PLAZA IMPROVEMENTS</v>
          </cell>
          <cell r="Q187">
            <v>0</v>
          </cell>
        </row>
        <row r="188">
          <cell r="B188" t="str">
            <v>E3911001</v>
          </cell>
          <cell r="C188" t="str">
            <v>FURNITURE EQUIPMENT</v>
          </cell>
          <cell r="Q188">
            <v>0</v>
          </cell>
        </row>
        <row r="189">
          <cell r="B189" t="str">
            <v>E3912001</v>
          </cell>
          <cell r="C189" t="str">
            <v>OFFICE EQUIPMENT</v>
          </cell>
          <cell r="P189">
            <v>0</v>
          </cell>
          <cell r="Q189">
            <v>0</v>
          </cell>
        </row>
        <row r="190">
          <cell r="B190" t="str">
            <v>E3913101</v>
          </cell>
          <cell r="C190" t="str">
            <v>COMPUTER EQUIPMENT</v>
          </cell>
          <cell r="P190">
            <v>0</v>
          </cell>
          <cell r="Q190">
            <v>0</v>
          </cell>
        </row>
        <row r="191">
          <cell r="B191" t="str">
            <v>E3913301</v>
          </cell>
          <cell r="C191" t="str">
            <v>COMPUTER</v>
          </cell>
          <cell r="Q191">
            <v>0</v>
          </cell>
        </row>
        <row r="192">
          <cell r="B192" t="str">
            <v>E3921001</v>
          </cell>
          <cell r="C192" t="str">
            <v>TRANSPORTATION EQUIPMENT 13K lb</v>
          </cell>
          <cell r="N192">
            <v>138049.66999999998</v>
          </cell>
          <cell r="P192">
            <v>0</v>
          </cell>
          <cell r="Q192">
            <v>138049.66999999998</v>
          </cell>
        </row>
        <row r="193">
          <cell r="B193" t="str">
            <v>E3922001</v>
          </cell>
          <cell r="C193" t="str">
            <v>TRANSPORTATION EQUIPMENT over 13K lb</v>
          </cell>
          <cell r="N193">
            <v>-138049.67000000001</v>
          </cell>
          <cell r="P193">
            <v>416409.73</v>
          </cell>
          <cell r="Q193">
            <v>278360.05999999994</v>
          </cell>
        </row>
        <row r="194">
          <cell r="B194" t="str">
            <v>E3923001</v>
          </cell>
          <cell r="C194" t="str">
            <v>HELICOPTERS</v>
          </cell>
          <cell r="Q194">
            <v>0</v>
          </cell>
        </row>
        <row r="195">
          <cell r="B195" t="str">
            <v>E3930001</v>
          </cell>
          <cell r="C195" t="str">
            <v>STORES EQUIPMENT</v>
          </cell>
          <cell r="Q195">
            <v>0</v>
          </cell>
        </row>
        <row r="196">
          <cell r="B196" t="str">
            <v>E3940001</v>
          </cell>
          <cell r="C196" t="str">
            <v>TOOLS, SHOP, GARAGE EQUIPMENT</v>
          </cell>
          <cell r="P196">
            <v>0</v>
          </cell>
          <cell r="Q196">
            <v>0</v>
          </cell>
        </row>
        <row r="197">
          <cell r="B197" t="str">
            <v>E3950001</v>
          </cell>
          <cell r="C197" t="str">
            <v>LABORATORY EQUIPMENT</v>
          </cell>
          <cell r="Q197">
            <v>0</v>
          </cell>
        </row>
        <row r="198">
          <cell r="B198" t="str">
            <v>E3960001</v>
          </cell>
          <cell r="C198" t="str">
            <v>POWER OPERATED EQUIPMENT</v>
          </cell>
          <cell r="P198">
            <v>-416409.73</v>
          </cell>
          <cell r="Q198">
            <v>-416409.73</v>
          </cell>
        </row>
        <row r="199">
          <cell r="B199" t="str">
            <v>E3970001</v>
          </cell>
          <cell r="C199" t="str">
            <v>COMMUNICATION EQUIPMENT</v>
          </cell>
          <cell r="P199">
            <v>0</v>
          </cell>
          <cell r="Q199">
            <v>0</v>
          </cell>
        </row>
        <row r="200">
          <cell r="B200" t="str">
            <v>E3980001</v>
          </cell>
          <cell r="C200" t="str">
            <v>MISCELLANEOUS EQUIPMENT</v>
          </cell>
          <cell r="Q200">
            <v>0</v>
          </cell>
        </row>
        <row r="213">
          <cell r="B213" t="str">
            <v>C3903001</v>
          </cell>
          <cell r="C213" t="str">
            <v>IMPROVEMENTS OTHER T</v>
          </cell>
          <cell r="Q213">
            <v>0</v>
          </cell>
        </row>
        <row r="214">
          <cell r="B214" t="str">
            <v>C3911001</v>
          </cell>
          <cell r="C214" t="str">
            <v>OFFICE FURNITURE</v>
          </cell>
          <cell r="Q214">
            <v>0</v>
          </cell>
        </row>
        <row r="215">
          <cell r="B215" t="str">
            <v>C3912001</v>
          </cell>
          <cell r="C215" t="str">
            <v>OFFICE EQUIPMENT</v>
          </cell>
          <cell r="Q215">
            <v>0</v>
          </cell>
        </row>
        <row r="216">
          <cell r="B216" t="str">
            <v>C3913001</v>
          </cell>
          <cell r="C216" t="str">
            <v>OFFICE COMPUTER EQUIPMENT</v>
          </cell>
          <cell r="Q216">
            <v>0</v>
          </cell>
        </row>
        <row r="217">
          <cell r="B217" t="str">
            <v>C3921101</v>
          </cell>
          <cell r="C217" t="str">
            <v>TRANSPORT EQUIPMENT</v>
          </cell>
          <cell r="Q217">
            <v>0</v>
          </cell>
        </row>
        <row r="218">
          <cell r="B218" t="str">
            <v>C3922001</v>
          </cell>
          <cell r="C218" t="str">
            <v>TRANSPORT EQUIPMENT</v>
          </cell>
          <cell r="Q218">
            <v>0</v>
          </cell>
        </row>
        <row r="219">
          <cell r="B219" t="str">
            <v>C3930001</v>
          </cell>
          <cell r="C219" t="str">
            <v>STORES EQUIPMENT</v>
          </cell>
          <cell r="Q219">
            <v>0</v>
          </cell>
        </row>
        <row r="220">
          <cell r="B220" t="str">
            <v>C3940001</v>
          </cell>
          <cell r="C220" t="str">
            <v>TOOLS, SHOP AND GAR</v>
          </cell>
          <cell r="Q220">
            <v>0</v>
          </cell>
        </row>
        <row r="221">
          <cell r="B221" t="str">
            <v>C3950001</v>
          </cell>
          <cell r="C221" t="str">
            <v>LABORATORY EQUIPMENT</v>
          </cell>
          <cell r="Q221">
            <v>0</v>
          </cell>
        </row>
        <row r="222">
          <cell r="B222" t="str">
            <v>C3970001</v>
          </cell>
          <cell r="C222" t="str">
            <v>COMMUNICATION EQUIPMENT</v>
          </cell>
          <cell r="Q222">
            <v>0</v>
          </cell>
        </row>
        <row r="223">
          <cell r="B223" t="str">
            <v>C3980001</v>
          </cell>
          <cell r="C223" t="str">
            <v>MISCELLANEOUS EQUIPMENT</v>
          </cell>
          <cell r="Q223">
            <v>0</v>
          </cell>
        </row>
        <row r="224">
          <cell r="C224" t="str">
            <v>Transmission Common Plant</v>
          </cell>
          <cell r="E224">
            <v>0</v>
          </cell>
          <cell r="F224">
            <v>0</v>
          </cell>
          <cell r="G224">
            <v>0</v>
          </cell>
          <cell r="H224">
            <v>0</v>
          </cell>
          <cell r="I224">
            <v>0</v>
          </cell>
          <cell r="J224">
            <v>0</v>
          </cell>
          <cell r="K224">
            <v>0</v>
          </cell>
          <cell r="L224">
            <v>0</v>
          </cell>
          <cell r="M224">
            <v>0</v>
          </cell>
          <cell r="N224">
            <v>0</v>
          </cell>
          <cell r="O224">
            <v>0</v>
          </cell>
          <cell r="P224">
            <v>0</v>
          </cell>
          <cell r="Q224">
            <v>0</v>
          </cell>
        </row>
        <row r="226">
          <cell r="B226" t="str">
            <v>E3501001</v>
          </cell>
          <cell r="C226" t="str">
            <v>LAND AND LAND RIGHTS</v>
          </cell>
          <cell r="E226">
            <v>0</v>
          </cell>
          <cell r="G226">
            <v>0</v>
          </cell>
          <cell r="H226">
            <v>0</v>
          </cell>
          <cell r="I226">
            <v>-2643.85</v>
          </cell>
          <cell r="J226">
            <v>0</v>
          </cell>
          <cell r="K226">
            <v>0</v>
          </cell>
          <cell r="M226">
            <v>-515.16999999999996</v>
          </cell>
          <cell r="N226">
            <v>0</v>
          </cell>
          <cell r="O226">
            <v>-171188.75</v>
          </cell>
          <cell r="P226">
            <v>0</v>
          </cell>
          <cell r="Q226">
            <v>-174347.77</v>
          </cell>
        </row>
        <row r="227">
          <cell r="B227" t="str">
            <v>E3502001</v>
          </cell>
          <cell r="C227" t="str">
            <v>LIMITED TERM LAND</v>
          </cell>
        </row>
        <row r="228">
          <cell r="B228" t="str">
            <v>E3503001</v>
          </cell>
          <cell r="C228" t="str">
            <v>SIDEWALKS &amp; CURBS</v>
          </cell>
          <cell r="E228">
            <v>0</v>
          </cell>
          <cell r="G228">
            <v>0</v>
          </cell>
          <cell r="H228">
            <v>0</v>
          </cell>
          <cell r="I228">
            <v>0</v>
          </cell>
          <cell r="J228">
            <v>0</v>
          </cell>
          <cell r="K228">
            <v>0</v>
          </cell>
          <cell r="M228">
            <v>0</v>
          </cell>
          <cell r="N228">
            <v>0</v>
          </cell>
          <cell r="Q228">
            <v>0</v>
          </cell>
        </row>
        <row r="229">
          <cell r="B229" t="str">
            <v>E3520001</v>
          </cell>
          <cell r="C229" t="str">
            <v>STRUCTURES &amp; IMPROVEMENTS</v>
          </cell>
          <cell r="E229">
            <v>0</v>
          </cell>
          <cell r="G229">
            <v>0</v>
          </cell>
          <cell r="I229">
            <v>0</v>
          </cell>
          <cell r="J229">
            <v>0</v>
          </cell>
          <cell r="K229">
            <v>0</v>
          </cell>
          <cell r="M229">
            <v>0</v>
          </cell>
          <cell r="N229">
            <v>0</v>
          </cell>
          <cell r="O229">
            <v>0</v>
          </cell>
          <cell r="P229">
            <v>0</v>
          </cell>
          <cell r="Q229">
            <v>0</v>
          </cell>
        </row>
        <row r="230">
          <cell r="B230" t="str">
            <v>E3531001</v>
          </cell>
          <cell r="C230" t="str">
            <v>STATION EQUIPMENT (OTHER THAN YARDS</v>
          </cell>
          <cell r="E230">
            <v>-12422018.880000001</v>
          </cell>
          <cell r="F230">
            <v>-846111.53</v>
          </cell>
          <cell r="G230">
            <v>-15825112.970000001</v>
          </cell>
          <cell r="H230">
            <v>-16263750.52</v>
          </cell>
          <cell r="I230">
            <v>-6577853.54</v>
          </cell>
          <cell r="J230">
            <v>-1358766.06</v>
          </cell>
          <cell r="K230">
            <v>-1070526.3899999999</v>
          </cell>
          <cell r="L230">
            <v>-38552816.57</v>
          </cell>
          <cell r="M230">
            <v>-19539.2</v>
          </cell>
          <cell r="N230">
            <v>-4329099.83</v>
          </cell>
          <cell r="O230">
            <v>-2965560.02</v>
          </cell>
          <cell r="P230">
            <v>-1062291</v>
          </cell>
          <cell r="Q230">
            <v>-101293446.51000001</v>
          </cell>
        </row>
        <row r="231">
          <cell r="B231" t="str">
            <v>E3532001</v>
          </cell>
          <cell r="C231" t="str">
            <v>STATION EQUIPMENT (YARDS CREEK)</v>
          </cell>
          <cell r="E231">
            <v>0</v>
          </cell>
          <cell r="G231">
            <v>0</v>
          </cell>
          <cell r="I231">
            <v>0</v>
          </cell>
          <cell r="J231">
            <v>0</v>
          </cell>
          <cell r="K231">
            <v>0</v>
          </cell>
          <cell r="L231">
            <v>0</v>
          </cell>
          <cell r="M231">
            <v>0</v>
          </cell>
          <cell r="N231">
            <v>0</v>
          </cell>
          <cell r="Q231">
            <v>0</v>
          </cell>
        </row>
        <row r="232">
          <cell r="B232" t="str">
            <v>E3538001</v>
          </cell>
          <cell r="C232" t="str">
            <v>Spare &amp; Emergency Station Equipment</v>
          </cell>
          <cell r="E232">
            <v>0</v>
          </cell>
          <cell r="G232">
            <v>0</v>
          </cell>
          <cell r="I232">
            <v>0</v>
          </cell>
          <cell r="J232">
            <v>0</v>
          </cell>
          <cell r="K232">
            <v>0</v>
          </cell>
          <cell r="L232">
            <v>0</v>
          </cell>
          <cell r="M232">
            <v>0</v>
          </cell>
          <cell r="N232">
            <v>0</v>
          </cell>
          <cell r="Q232">
            <v>0</v>
          </cell>
        </row>
        <row r="233">
          <cell r="B233" t="str">
            <v>E3540001</v>
          </cell>
          <cell r="C233" t="str">
            <v>TOWERS AND FIXTURES - 138, 230 RO 34</v>
          </cell>
          <cell r="E233">
            <v>-360220.48</v>
          </cell>
          <cell r="G233">
            <v>-120542.34</v>
          </cell>
          <cell r="I233">
            <v>-69856.7</v>
          </cell>
          <cell r="J233">
            <v>-29796.43</v>
          </cell>
          <cell r="K233">
            <v>0</v>
          </cell>
          <cell r="L233">
            <v>0</v>
          </cell>
          <cell r="M233">
            <v>-635384.32999999996</v>
          </cell>
          <cell r="N233">
            <v>-1811983.24</v>
          </cell>
          <cell r="O233">
            <v>0</v>
          </cell>
          <cell r="P233">
            <v>0</v>
          </cell>
          <cell r="Q233">
            <v>-3027783.5199999996</v>
          </cell>
        </row>
        <row r="234">
          <cell r="B234" t="str">
            <v>E3541001</v>
          </cell>
          <cell r="C234" t="str">
            <v>TOWERS AND FIXTURES - TOWER FOUNDATION</v>
          </cell>
          <cell r="E234">
            <v>0</v>
          </cell>
          <cell r="G234">
            <v>0</v>
          </cell>
          <cell r="I234">
            <v>0</v>
          </cell>
          <cell r="J234">
            <v>0</v>
          </cell>
          <cell r="K234">
            <v>0</v>
          </cell>
          <cell r="L234">
            <v>0</v>
          </cell>
          <cell r="M234">
            <v>0</v>
          </cell>
          <cell r="N234">
            <v>0</v>
          </cell>
          <cell r="Q234">
            <v>0</v>
          </cell>
        </row>
        <row r="235">
          <cell r="B235" t="str">
            <v>E3542001</v>
          </cell>
          <cell r="C235" t="str">
            <v>TOWERS AND FIXTURES - TOWERS</v>
          </cell>
          <cell r="E235">
            <v>0</v>
          </cell>
          <cell r="G235">
            <v>0</v>
          </cell>
          <cell r="I235">
            <v>0</v>
          </cell>
          <cell r="J235">
            <v>0</v>
          </cell>
          <cell r="K235">
            <v>0</v>
          </cell>
          <cell r="L235">
            <v>0</v>
          </cell>
          <cell r="M235">
            <v>0</v>
          </cell>
          <cell r="N235">
            <v>0</v>
          </cell>
          <cell r="Q235">
            <v>0</v>
          </cell>
        </row>
        <row r="236">
          <cell r="B236" t="str">
            <v>E3551001</v>
          </cell>
          <cell r="C236" t="str">
            <v>POLES</v>
          </cell>
          <cell r="E236">
            <v>0</v>
          </cell>
          <cell r="G236">
            <v>0</v>
          </cell>
          <cell r="I236">
            <v>0</v>
          </cell>
          <cell r="J236">
            <v>0</v>
          </cell>
          <cell r="K236">
            <v>0</v>
          </cell>
          <cell r="L236">
            <v>0</v>
          </cell>
          <cell r="M236">
            <v>0</v>
          </cell>
          <cell r="N236">
            <v>0</v>
          </cell>
          <cell r="Q236">
            <v>0</v>
          </cell>
        </row>
        <row r="237">
          <cell r="B237" t="str">
            <v>E3552001</v>
          </cell>
          <cell r="C237" t="str">
            <v>POLE FIXTURES</v>
          </cell>
          <cell r="E237">
            <v>0</v>
          </cell>
          <cell r="G237">
            <v>0</v>
          </cell>
          <cell r="I237">
            <v>0</v>
          </cell>
          <cell r="J237">
            <v>0</v>
          </cell>
          <cell r="K237">
            <v>0</v>
          </cell>
          <cell r="L237">
            <v>0</v>
          </cell>
          <cell r="M237">
            <v>0</v>
          </cell>
          <cell r="N237">
            <v>0</v>
          </cell>
          <cell r="Q237">
            <v>0</v>
          </cell>
        </row>
        <row r="238">
          <cell r="B238" t="str">
            <v>E3553001</v>
          </cell>
          <cell r="C238" t="str">
            <v>MASS PROPERTY POLES</v>
          </cell>
          <cell r="E238">
            <v>0</v>
          </cell>
          <cell r="G238">
            <v>0</v>
          </cell>
          <cell r="I238">
            <v>0</v>
          </cell>
          <cell r="J238">
            <v>0</v>
          </cell>
          <cell r="K238">
            <v>0</v>
          </cell>
          <cell r="L238">
            <v>0</v>
          </cell>
          <cell r="M238">
            <v>0</v>
          </cell>
          <cell r="N238">
            <v>0</v>
          </cell>
          <cell r="O238">
            <v>0</v>
          </cell>
          <cell r="P238">
            <v>0</v>
          </cell>
          <cell r="Q238">
            <v>0</v>
          </cell>
        </row>
        <row r="239">
          <cell r="B239" t="str">
            <v>E3554001</v>
          </cell>
          <cell r="C239" t="str">
            <v>69KV-E3554007-Pole Fixtures-TC10</v>
          </cell>
          <cell r="E239">
            <v>0</v>
          </cell>
          <cell r="G239">
            <v>0</v>
          </cell>
          <cell r="I239">
            <v>0</v>
          </cell>
          <cell r="J239">
            <v>0</v>
          </cell>
          <cell r="K239">
            <v>0</v>
          </cell>
          <cell r="L239">
            <v>0</v>
          </cell>
          <cell r="M239">
            <v>0</v>
          </cell>
          <cell r="N239">
            <v>0</v>
          </cell>
          <cell r="O239">
            <v>0</v>
          </cell>
          <cell r="P239">
            <v>0</v>
          </cell>
          <cell r="Q239">
            <v>0</v>
          </cell>
        </row>
        <row r="240">
          <cell r="B240" t="str">
            <v>E3560001</v>
          </cell>
          <cell r="C240" t="str">
            <v>OVERHEAD CONDUCTORS AND DEVICES</v>
          </cell>
          <cell r="E240">
            <v>-1241642.75</v>
          </cell>
          <cell r="G240">
            <v>-1090296.8600000001</v>
          </cell>
          <cell r="I240">
            <v>-1097148.24</v>
          </cell>
          <cell r="J240">
            <v>-528332.67000000004</v>
          </cell>
          <cell r="K240">
            <v>0</v>
          </cell>
          <cell r="L240">
            <v>0</v>
          </cell>
          <cell r="M240">
            <v>-1975265.95</v>
          </cell>
          <cell r="N240">
            <v>-2623024.83</v>
          </cell>
          <cell r="O240">
            <v>-947396.92</v>
          </cell>
          <cell r="P240">
            <v>-46815.53</v>
          </cell>
          <cell r="Q240">
            <v>-9549923.75</v>
          </cell>
        </row>
        <row r="241">
          <cell r="B241" t="str">
            <v>E3561001</v>
          </cell>
          <cell r="C241" t="str">
            <v>69KV-E3561007-Overhead Conductors &amp; Devices-Tc10</v>
          </cell>
          <cell r="E241">
            <v>0</v>
          </cell>
          <cell r="G241">
            <v>0</v>
          </cell>
          <cell r="I241">
            <v>0</v>
          </cell>
          <cell r="J241">
            <v>0</v>
          </cell>
          <cell r="K241">
            <v>0</v>
          </cell>
          <cell r="L241">
            <v>0</v>
          </cell>
          <cell r="M241">
            <v>0</v>
          </cell>
          <cell r="N241">
            <v>0</v>
          </cell>
          <cell r="O241">
            <v>0</v>
          </cell>
          <cell r="P241">
            <v>0</v>
          </cell>
          <cell r="Q241">
            <v>0</v>
          </cell>
        </row>
        <row r="242">
          <cell r="B242" t="str">
            <v>E3570001</v>
          </cell>
          <cell r="C242" t="str">
            <v>UNDERGROUND CONDUIT</v>
          </cell>
          <cell r="E242">
            <v>-25096.89</v>
          </cell>
          <cell r="G242">
            <v>0</v>
          </cell>
          <cell r="I242">
            <v>0</v>
          </cell>
          <cell r="J242">
            <v>0</v>
          </cell>
          <cell r="K242">
            <v>-39455.79</v>
          </cell>
          <cell r="L242">
            <v>0</v>
          </cell>
          <cell r="M242">
            <v>0</v>
          </cell>
          <cell r="N242">
            <v>0</v>
          </cell>
          <cell r="O242">
            <v>0</v>
          </cell>
          <cell r="P242">
            <v>-20725.73</v>
          </cell>
          <cell r="Q242">
            <v>-85278.41</v>
          </cell>
        </row>
        <row r="243">
          <cell r="B243" t="str">
            <v>E3571001</v>
          </cell>
          <cell r="C243" t="str">
            <v>69KV-E3571007-Underground Conduit-TC10</v>
          </cell>
          <cell r="E243">
            <v>0</v>
          </cell>
          <cell r="G243">
            <v>0</v>
          </cell>
          <cell r="I243">
            <v>0</v>
          </cell>
          <cell r="J243">
            <v>0</v>
          </cell>
          <cell r="K243">
            <v>0</v>
          </cell>
          <cell r="L243">
            <v>0</v>
          </cell>
          <cell r="M243">
            <v>0</v>
          </cell>
          <cell r="N243">
            <v>0</v>
          </cell>
          <cell r="O243">
            <v>0</v>
          </cell>
          <cell r="P243">
            <v>0</v>
          </cell>
          <cell r="Q243">
            <v>0</v>
          </cell>
        </row>
        <row r="244">
          <cell r="B244" t="str">
            <v>E3580001</v>
          </cell>
          <cell r="C244" t="str">
            <v>UNDERGROUND CONDUCTORS AND DEVICES</v>
          </cell>
          <cell r="E244">
            <v>-3494629.8</v>
          </cell>
          <cell r="G244">
            <v>0</v>
          </cell>
          <cell r="H244">
            <v>906305.77</v>
          </cell>
          <cell r="I244">
            <v>0</v>
          </cell>
          <cell r="J244">
            <v>0</v>
          </cell>
          <cell r="K244">
            <v>-969628.4</v>
          </cell>
          <cell r="L244">
            <v>0</v>
          </cell>
          <cell r="M244">
            <v>0</v>
          </cell>
          <cell r="N244">
            <v>0</v>
          </cell>
          <cell r="O244">
            <v>0</v>
          </cell>
          <cell r="P244">
            <v>-478727.09</v>
          </cell>
          <cell r="Q244">
            <v>-4036679.5199999996</v>
          </cell>
        </row>
        <row r="245">
          <cell r="B245" t="str">
            <v>E3582001</v>
          </cell>
          <cell r="C245" t="str">
            <v>69KV-E3582007-Undrgnd Cond&amp;Devics(Conv)-Tc10</v>
          </cell>
          <cell r="E245">
            <v>0</v>
          </cell>
          <cell r="G245">
            <v>0</v>
          </cell>
          <cell r="I245">
            <v>0</v>
          </cell>
          <cell r="J245">
            <v>0</v>
          </cell>
          <cell r="K245">
            <v>0</v>
          </cell>
          <cell r="L245">
            <v>0</v>
          </cell>
          <cell r="M245">
            <v>0</v>
          </cell>
          <cell r="N245">
            <v>0</v>
          </cell>
          <cell r="O245">
            <v>0</v>
          </cell>
          <cell r="P245">
            <v>0</v>
          </cell>
          <cell r="Q245">
            <v>0</v>
          </cell>
        </row>
        <row r="246">
          <cell r="B246" t="str">
            <v>E3583001</v>
          </cell>
          <cell r="C246" t="str">
            <v>69KV-E3583007-Undrgnd Cond&amp;Dev(Buried)-TC10</v>
          </cell>
          <cell r="E246">
            <v>0</v>
          </cell>
          <cell r="G246">
            <v>0</v>
          </cell>
          <cell r="H246">
            <v>0</v>
          </cell>
          <cell r="I246">
            <v>0</v>
          </cell>
          <cell r="J246">
            <v>0</v>
          </cell>
          <cell r="K246">
            <v>0</v>
          </cell>
          <cell r="L246">
            <v>0</v>
          </cell>
          <cell r="M246">
            <v>0</v>
          </cell>
          <cell r="N246">
            <v>0</v>
          </cell>
          <cell r="O246">
            <v>0</v>
          </cell>
          <cell r="P246">
            <v>0</v>
          </cell>
          <cell r="Q246">
            <v>0</v>
          </cell>
        </row>
        <row r="247">
          <cell r="B247" t="str">
            <v>E3588001</v>
          </cell>
          <cell r="C247" t="str">
            <v>UNDERGROUND CONDUCTORS AND DEVICES</v>
          </cell>
          <cell r="E247">
            <v>0</v>
          </cell>
          <cell r="G247">
            <v>0</v>
          </cell>
          <cell r="H247">
            <v>0</v>
          </cell>
          <cell r="I247">
            <v>0</v>
          </cell>
          <cell r="J247">
            <v>0</v>
          </cell>
          <cell r="K247">
            <v>0</v>
          </cell>
          <cell r="L247">
            <v>0</v>
          </cell>
          <cell r="M247">
            <v>0</v>
          </cell>
          <cell r="N247">
            <v>0</v>
          </cell>
          <cell r="O247">
            <v>0</v>
          </cell>
          <cell r="P247">
            <v>0</v>
          </cell>
          <cell r="Q247">
            <v>0</v>
          </cell>
        </row>
        <row r="248">
          <cell r="B248" t="str">
            <v>E3590001</v>
          </cell>
          <cell r="C248" t="str">
            <v>ROADS AND TRAILS</v>
          </cell>
          <cell r="E248">
            <v>0</v>
          </cell>
          <cell r="G248">
            <v>0</v>
          </cell>
          <cell r="J248">
            <v>0</v>
          </cell>
          <cell r="K248">
            <v>0</v>
          </cell>
          <cell r="L248">
            <v>0</v>
          </cell>
          <cell r="M248">
            <v>0</v>
          </cell>
          <cell r="O248">
            <v>0</v>
          </cell>
          <cell r="P248">
            <v>0</v>
          </cell>
          <cell r="Q248">
            <v>0</v>
          </cell>
        </row>
        <row r="249">
          <cell r="C249" t="str">
            <v>Transmission Plant</v>
          </cell>
          <cell r="E249">
            <v>-17543608.800000001</v>
          </cell>
          <cell r="F249">
            <v>-846111.53</v>
          </cell>
          <cell r="G249">
            <v>-17035952.170000002</v>
          </cell>
          <cell r="H249">
            <v>-15357444.75</v>
          </cell>
          <cell r="I249">
            <v>-7747502.3300000001</v>
          </cell>
          <cell r="J249">
            <v>-1916895.1600000001</v>
          </cell>
          <cell r="K249">
            <v>-2079610.58</v>
          </cell>
          <cell r="L249">
            <v>-38552816.57</v>
          </cell>
          <cell r="M249">
            <v>-2630704.65</v>
          </cell>
          <cell r="N249">
            <v>-8764107.9000000004</v>
          </cell>
          <cell r="O249">
            <v>-4084145.69</v>
          </cell>
          <cell r="P249">
            <v>-1608559.35</v>
          </cell>
          <cell r="Q249">
            <v>-118167459.47999999</v>
          </cell>
        </row>
        <row r="251">
          <cell r="B251" t="str">
            <v>E3891001</v>
          </cell>
          <cell r="C251" t="str">
            <v>LAND AND LAND RIGHTS</v>
          </cell>
          <cell r="J251">
            <v>0</v>
          </cell>
          <cell r="L251">
            <v>0</v>
          </cell>
          <cell r="M251">
            <v>0</v>
          </cell>
          <cell r="Q251">
            <v>0</v>
          </cell>
        </row>
        <row r="252">
          <cell r="B252" t="str">
            <v>E3900001</v>
          </cell>
          <cell r="C252" t="str">
            <v>STRUCTURES AND IMPROVEMENTS</v>
          </cell>
          <cell r="J252">
            <v>0</v>
          </cell>
          <cell r="L252">
            <v>0</v>
          </cell>
          <cell r="M252">
            <v>0</v>
          </cell>
          <cell r="P252">
            <v>0</v>
          </cell>
          <cell r="Q252">
            <v>0</v>
          </cell>
        </row>
        <row r="253">
          <cell r="B253" t="str">
            <v>E3901001</v>
          </cell>
          <cell r="C253" t="str">
            <v>PARK PLAZA IMPROVEMENTS</v>
          </cell>
          <cell r="J253">
            <v>0</v>
          </cell>
          <cell r="L253">
            <v>0</v>
          </cell>
          <cell r="M253">
            <v>0</v>
          </cell>
          <cell r="Q253">
            <v>0</v>
          </cell>
        </row>
        <row r="254">
          <cell r="B254" t="str">
            <v>E3911001</v>
          </cell>
          <cell r="C254" t="str">
            <v>FURNITURE EQUIPMENT</v>
          </cell>
          <cell r="J254">
            <v>0</v>
          </cell>
          <cell r="L254">
            <v>0</v>
          </cell>
          <cell r="M254">
            <v>0</v>
          </cell>
          <cell r="Q254">
            <v>0</v>
          </cell>
        </row>
        <row r="255">
          <cell r="B255" t="str">
            <v>E3912001</v>
          </cell>
          <cell r="C255" t="str">
            <v>OFFICE EQUIPMENT</v>
          </cell>
          <cell r="L255">
            <v>0</v>
          </cell>
          <cell r="M255">
            <v>0</v>
          </cell>
          <cell r="Q255">
            <v>0</v>
          </cell>
        </row>
        <row r="256">
          <cell r="B256" t="str">
            <v>E3913101</v>
          </cell>
          <cell r="C256" t="str">
            <v>COMPUTER EQUIPMENT</v>
          </cell>
          <cell r="L256">
            <v>0</v>
          </cell>
          <cell r="M256">
            <v>0</v>
          </cell>
          <cell r="Q256">
            <v>0</v>
          </cell>
        </row>
        <row r="257">
          <cell r="B257" t="str">
            <v>E3913301</v>
          </cell>
          <cell r="C257" t="str">
            <v>COMPUTER</v>
          </cell>
          <cell r="E257">
            <v>-407553.87</v>
          </cell>
          <cell r="L257">
            <v>0</v>
          </cell>
          <cell r="M257">
            <v>0</v>
          </cell>
          <cell r="Q257">
            <v>-407553.87</v>
          </cell>
        </row>
        <row r="258">
          <cell r="B258" t="str">
            <v>E3921001</v>
          </cell>
          <cell r="C258" t="str">
            <v>TRANSPORTATION EQUIPMENT 13K lb</v>
          </cell>
          <cell r="E258">
            <v>-214977.49</v>
          </cell>
          <cell r="K258">
            <v>-32878.97</v>
          </cell>
          <cell r="L258">
            <v>-1560699.15</v>
          </cell>
          <cell r="M258">
            <v>-73242.600000000006</v>
          </cell>
          <cell r="Q258">
            <v>-1881798.21</v>
          </cell>
        </row>
        <row r="259">
          <cell r="B259" t="str">
            <v>E3922001</v>
          </cell>
          <cell r="C259" t="str">
            <v>TRANSPORTATION EQUIPMENT over 13K lb</v>
          </cell>
          <cell r="K259">
            <v>0</v>
          </cell>
          <cell r="L259">
            <v>-80512.36</v>
          </cell>
          <cell r="M259">
            <v>0</v>
          </cell>
          <cell r="Q259">
            <v>-80512.36</v>
          </cell>
        </row>
        <row r="260">
          <cell r="B260" t="str">
            <v>E3923001</v>
          </cell>
          <cell r="C260" t="str">
            <v>HELICOPTERS</v>
          </cell>
          <cell r="K260">
            <v>0</v>
          </cell>
          <cell r="L260">
            <v>0</v>
          </cell>
          <cell r="M260">
            <v>0</v>
          </cell>
          <cell r="Q260">
            <v>0</v>
          </cell>
        </row>
        <row r="261">
          <cell r="B261" t="str">
            <v>E3930001</v>
          </cell>
          <cell r="C261" t="str">
            <v>STORES EQUIPMENT</v>
          </cell>
          <cell r="K261">
            <v>0</v>
          </cell>
          <cell r="L261">
            <v>0</v>
          </cell>
          <cell r="M261">
            <v>0</v>
          </cell>
          <cell r="Q261">
            <v>0</v>
          </cell>
        </row>
        <row r="262">
          <cell r="B262" t="str">
            <v>E3940001</v>
          </cell>
          <cell r="C262" t="str">
            <v>TOOLS, SHOP, GARAGE EQUIPMENT</v>
          </cell>
          <cell r="K262">
            <v>0</v>
          </cell>
          <cell r="L262">
            <v>0</v>
          </cell>
          <cell r="M262">
            <v>0</v>
          </cell>
          <cell r="Q262">
            <v>0</v>
          </cell>
        </row>
        <row r="263">
          <cell r="B263" t="str">
            <v>E3950001</v>
          </cell>
          <cell r="C263" t="str">
            <v>LABORATORY EQUIPMENT</v>
          </cell>
          <cell r="K263">
            <v>0</v>
          </cell>
          <cell r="L263">
            <v>0</v>
          </cell>
          <cell r="M263">
            <v>0</v>
          </cell>
          <cell r="Q263">
            <v>0</v>
          </cell>
        </row>
        <row r="264">
          <cell r="B264" t="str">
            <v>E3960001</v>
          </cell>
          <cell r="C264" t="str">
            <v>POWER OPERATED EQUIPMENT</v>
          </cell>
          <cell r="K264">
            <v>0</v>
          </cell>
          <cell r="L264">
            <v>0</v>
          </cell>
          <cell r="M264">
            <v>0</v>
          </cell>
          <cell r="Q264">
            <v>0</v>
          </cell>
        </row>
        <row r="265">
          <cell r="B265" t="str">
            <v>E3970001</v>
          </cell>
          <cell r="C265" t="str">
            <v>COMMUNICATION EQUIPMENT</v>
          </cell>
          <cell r="K265">
            <v>0</v>
          </cell>
          <cell r="L265">
            <v>0</v>
          </cell>
          <cell r="M265">
            <v>0</v>
          </cell>
          <cell r="Q265">
            <v>0</v>
          </cell>
        </row>
        <row r="266">
          <cell r="B266" t="str">
            <v>E3980001</v>
          </cell>
          <cell r="C266" t="str">
            <v>MISCELLANEOUS EQUIPMENT</v>
          </cell>
          <cell r="J266">
            <v>0</v>
          </cell>
          <cell r="K266">
            <v>0</v>
          </cell>
          <cell r="L266">
            <v>0</v>
          </cell>
          <cell r="M266">
            <v>0</v>
          </cell>
          <cell r="Q266">
            <v>0</v>
          </cell>
        </row>
        <row r="280">
          <cell r="B280" t="str">
            <v>C3903001</v>
          </cell>
          <cell r="C280" t="str">
            <v>IMPROVEMENTS OTHER T</v>
          </cell>
          <cell r="Q280">
            <v>0</v>
          </cell>
        </row>
        <row r="281">
          <cell r="B281" t="str">
            <v>C3911001</v>
          </cell>
          <cell r="C281" t="str">
            <v>OFFICE FURNITURE</v>
          </cell>
          <cell r="Q281">
            <v>0</v>
          </cell>
        </row>
        <row r="282">
          <cell r="B282" t="str">
            <v>C3912001</v>
          </cell>
          <cell r="C282" t="str">
            <v>OFFICE EQUIPMENT</v>
          </cell>
          <cell r="Q282">
            <v>0</v>
          </cell>
        </row>
        <row r="283">
          <cell r="B283" t="str">
            <v>C3913001</v>
          </cell>
          <cell r="C283" t="str">
            <v>OFFICE COMPUTER EQUIPMENT</v>
          </cell>
          <cell r="Q283">
            <v>0</v>
          </cell>
        </row>
        <row r="284">
          <cell r="B284" t="str">
            <v>C3921101</v>
          </cell>
          <cell r="C284" t="str">
            <v>TRANSPORT EQUIPMENT</v>
          </cell>
          <cell r="Q284">
            <v>0</v>
          </cell>
        </row>
        <row r="285">
          <cell r="B285" t="str">
            <v>C3922001</v>
          </cell>
          <cell r="C285" t="str">
            <v>TRANSPORT EQUIPMENT</v>
          </cell>
          <cell r="Q285">
            <v>0</v>
          </cell>
        </row>
        <row r="286">
          <cell r="B286" t="str">
            <v>C3930001</v>
          </cell>
          <cell r="C286" t="str">
            <v>STORES EQUIPMENT</v>
          </cell>
          <cell r="Q286">
            <v>0</v>
          </cell>
        </row>
        <row r="287">
          <cell r="B287" t="str">
            <v>C3940001</v>
          </cell>
          <cell r="C287" t="str">
            <v>TOOLS, SHOP AND GAR</v>
          </cell>
          <cell r="Q287">
            <v>0</v>
          </cell>
        </row>
        <row r="288">
          <cell r="B288" t="str">
            <v>C3950001</v>
          </cell>
          <cell r="C288" t="str">
            <v>LABORATORY EQUIPMENT</v>
          </cell>
          <cell r="Q288">
            <v>0</v>
          </cell>
        </row>
        <row r="289">
          <cell r="B289" t="str">
            <v>C3970001</v>
          </cell>
          <cell r="C289" t="str">
            <v>COMMUNICATION EQUIPMENT</v>
          </cell>
          <cell r="Q289">
            <v>0</v>
          </cell>
        </row>
        <row r="290">
          <cell r="B290" t="str">
            <v>C3980001</v>
          </cell>
          <cell r="C290" t="str">
            <v>MISCELLANEOUS EQUIPMENT</v>
          </cell>
          <cell r="Q290">
            <v>0</v>
          </cell>
        </row>
        <row r="291">
          <cell r="C291" t="str">
            <v>Transmission Common Plant</v>
          </cell>
          <cell r="E291">
            <v>0</v>
          </cell>
          <cell r="F291">
            <v>0</v>
          </cell>
          <cell r="G291">
            <v>0</v>
          </cell>
          <cell r="H291">
            <v>0</v>
          </cell>
          <cell r="I291">
            <v>0</v>
          </cell>
          <cell r="J291">
            <v>0</v>
          </cell>
          <cell r="K291">
            <v>0</v>
          </cell>
          <cell r="L291">
            <v>0</v>
          </cell>
          <cell r="M291">
            <v>0</v>
          </cell>
          <cell r="N291">
            <v>0</v>
          </cell>
          <cell r="O291">
            <v>0</v>
          </cell>
          <cell r="P291">
            <v>0</v>
          </cell>
          <cell r="Q291">
            <v>0</v>
          </cell>
        </row>
        <row r="293">
          <cell r="B293" t="str">
            <v>E3501001</v>
          </cell>
          <cell r="C293" t="str">
            <v>LAND AND LAND RIGHTS</v>
          </cell>
          <cell r="Q293">
            <v>0</v>
          </cell>
        </row>
        <row r="294">
          <cell r="B294" t="str">
            <v>E3502001</v>
          </cell>
          <cell r="C294" t="str">
            <v>LIMITED TERM LAND</v>
          </cell>
        </row>
        <row r="295">
          <cell r="B295" t="str">
            <v>E3503001</v>
          </cell>
          <cell r="C295" t="str">
            <v>SIDEWALKS &amp; CURBS</v>
          </cell>
          <cell r="Q295">
            <v>0</v>
          </cell>
        </row>
        <row r="296">
          <cell r="B296" t="str">
            <v>E3520001</v>
          </cell>
          <cell r="C296" t="str">
            <v>STRUCTURES &amp; IMPROVEMENTS</v>
          </cell>
          <cell r="Q296">
            <v>0</v>
          </cell>
        </row>
        <row r="297">
          <cell r="B297" t="str">
            <v>E3531001</v>
          </cell>
          <cell r="C297" t="str">
            <v>STATION EQUIPMENT (OTHER THAN YARDS</v>
          </cell>
          <cell r="Q297">
            <v>0</v>
          </cell>
        </row>
        <row r="298">
          <cell r="B298" t="str">
            <v>E3532001</v>
          </cell>
          <cell r="C298" t="str">
            <v>STATION EQUIPMENT (YARDS CREEK)</v>
          </cell>
          <cell r="Q298">
            <v>0</v>
          </cell>
        </row>
        <row r="299">
          <cell r="B299" t="str">
            <v>E3540001</v>
          </cell>
          <cell r="C299" t="str">
            <v>TOWERS AND FIXTURES - 138, 230 RO 34</v>
          </cell>
          <cell r="Q299">
            <v>0</v>
          </cell>
        </row>
        <row r="300">
          <cell r="B300" t="str">
            <v>E3541001</v>
          </cell>
          <cell r="C300" t="str">
            <v>TOWERS AND FIXTURES - TOWER FOUNDATION</v>
          </cell>
          <cell r="Q300">
            <v>0</v>
          </cell>
        </row>
        <row r="301">
          <cell r="B301" t="str">
            <v>E3542001</v>
          </cell>
          <cell r="C301" t="str">
            <v>TOWERS AND FIXTURES - TOWERS</v>
          </cell>
          <cell r="Q301">
            <v>0</v>
          </cell>
        </row>
        <row r="302">
          <cell r="B302" t="str">
            <v>E3551001</v>
          </cell>
          <cell r="C302" t="str">
            <v>POLES</v>
          </cell>
          <cell r="Q302">
            <v>0</v>
          </cell>
        </row>
        <row r="303">
          <cell r="B303" t="str">
            <v>E3552001</v>
          </cell>
          <cell r="C303" t="str">
            <v>POLE FIXTURES</v>
          </cell>
          <cell r="Q303">
            <v>0</v>
          </cell>
        </row>
        <row r="304">
          <cell r="B304" t="str">
            <v>E3560001</v>
          </cell>
          <cell r="C304" t="str">
            <v>OVERHEAD CONDUCTORS AND DEVICES</v>
          </cell>
          <cell r="Q304">
            <v>0</v>
          </cell>
        </row>
        <row r="305">
          <cell r="B305" t="str">
            <v>E3570001</v>
          </cell>
          <cell r="C305" t="str">
            <v>UNDERGROUND CONDUIT</v>
          </cell>
          <cell r="Q305">
            <v>0</v>
          </cell>
        </row>
        <row r="306">
          <cell r="B306" t="str">
            <v>E3580001</v>
          </cell>
          <cell r="C306" t="str">
            <v>UNDERGROUND CONDUCTORS AND DEVICES</v>
          </cell>
          <cell r="Q306">
            <v>0</v>
          </cell>
        </row>
        <row r="307">
          <cell r="B307" t="str">
            <v>E3588001</v>
          </cell>
          <cell r="C307" t="str">
            <v>UNDERGROUND CONDUCTORS AND DEVICES</v>
          </cell>
          <cell r="Q307">
            <v>0</v>
          </cell>
        </row>
        <row r="308">
          <cell r="B308" t="str">
            <v>E3590001</v>
          </cell>
          <cell r="C308" t="str">
            <v>ROADS AND TRAILS</v>
          </cell>
          <cell r="Q308">
            <v>0</v>
          </cell>
        </row>
        <row r="309">
          <cell r="C309" t="str">
            <v>Transmission Plant</v>
          </cell>
          <cell r="E309">
            <v>0</v>
          </cell>
          <cell r="F309">
            <v>0</v>
          </cell>
          <cell r="G309">
            <v>0</v>
          </cell>
          <cell r="H309">
            <v>0</v>
          </cell>
          <cell r="I309">
            <v>0</v>
          </cell>
          <cell r="J309">
            <v>0</v>
          </cell>
          <cell r="K309">
            <v>0</v>
          </cell>
          <cell r="L309">
            <v>0</v>
          </cell>
          <cell r="M309">
            <v>0</v>
          </cell>
          <cell r="N309">
            <v>0</v>
          </cell>
          <cell r="O309">
            <v>0</v>
          </cell>
          <cell r="P309">
            <v>0</v>
          </cell>
          <cell r="Q309">
            <v>0</v>
          </cell>
        </row>
        <row r="311">
          <cell r="B311" t="str">
            <v>E3891001</v>
          </cell>
          <cell r="C311" t="str">
            <v>LAND AND LAND RIGHTS</v>
          </cell>
          <cell r="Q311">
            <v>0</v>
          </cell>
        </row>
        <row r="312">
          <cell r="B312" t="str">
            <v>E3900001</v>
          </cell>
          <cell r="C312" t="str">
            <v>STRUCTURES AND IMPROVEMENTS</v>
          </cell>
          <cell r="Q312">
            <v>0</v>
          </cell>
        </row>
        <row r="313">
          <cell r="B313" t="str">
            <v>E3901001</v>
          </cell>
          <cell r="C313" t="str">
            <v>PARK PLAZA IMPROVEMENTS</v>
          </cell>
          <cell r="Q313">
            <v>0</v>
          </cell>
        </row>
        <row r="314">
          <cell r="B314" t="str">
            <v>E3911001</v>
          </cell>
          <cell r="C314" t="str">
            <v>FURNITURE EQUIPMENT</v>
          </cell>
          <cell r="Q314">
            <v>0</v>
          </cell>
        </row>
        <row r="315">
          <cell r="B315" t="str">
            <v>E3912001</v>
          </cell>
          <cell r="C315" t="str">
            <v>OFFICE EQUIPMENT</v>
          </cell>
          <cell r="Q315">
            <v>0</v>
          </cell>
        </row>
        <row r="316">
          <cell r="B316" t="str">
            <v>E3913101</v>
          </cell>
          <cell r="C316" t="str">
            <v>COMPUTER EQUIPMENT</v>
          </cell>
          <cell r="Q316">
            <v>0</v>
          </cell>
        </row>
        <row r="317">
          <cell r="B317" t="str">
            <v>E3913301</v>
          </cell>
          <cell r="C317" t="str">
            <v>COMPUTER</v>
          </cell>
          <cell r="Q317">
            <v>0</v>
          </cell>
        </row>
        <row r="318">
          <cell r="B318" t="str">
            <v>E3921001</v>
          </cell>
          <cell r="C318" t="str">
            <v>TRANSPORTATION EQUIPMENT 13K lb</v>
          </cell>
          <cell r="Q318">
            <v>0</v>
          </cell>
        </row>
        <row r="319">
          <cell r="B319" t="str">
            <v>E3922001</v>
          </cell>
          <cell r="C319" t="str">
            <v>TRANSPORTATION EQUIPMENT over 13K lb</v>
          </cell>
          <cell r="Q319">
            <v>0</v>
          </cell>
        </row>
        <row r="320">
          <cell r="B320" t="str">
            <v>E3923001</v>
          </cell>
          <cell r="C320" t="str">
            <v>HELICOPTERS</v>
          </cell>
          <cell r="Q320">
            <v>0</v>
          </cell>
        </row>
        <row r="321">
          <cell r="B321" t="str">
            <v>E3930001</v>
          </cell>
          <cell r="C321" t="str">
            <v>STORES EQUIPMENT</v>
          </cell>
          <cell r="Q321">
            <v>0</v>
          </cell>
        </row>
        <row r="322">
          <cell r="B322" t="str">
            <v>E3940001</v>
          </cell>
          <cell r="C322" t="str">
            <v>TOOLS, SHOP, GARAGE EQUIPMENT</v>
          </cell>
          <cell r="Q322">
            <v>0</v>
          </cell>
        </row>
        <row r="323">
          <cell r="B323" t="str">
            <v>E3950001</v>
          </cell>
          <cell r="C323" t="str">
            <v>LABORATORY EQUIPMENT</v>
          </cell>
          <cell r="Q323">
            <v>0</v>
          </cell>
        </row>
        <row r="324">
          <cell r="B324" t="str">
            <v>E3960001</v>
          </cell>
          <cell r="C324" t="str">
            <v>POWER OPERATED EQUIPMENT</v>
          </cell>
          <cell r="Q324">
            <v>0</v>
          </cell>
        </row>
        <row r="325">
          <cell r="B325" t="str">
            <v>E3970001</v>
          </cell>
          <cell r="C325" t="str">
            <v>COMMUNICATION EQUIPMENT</v>
          </cell>
          <cell r="Q325">
            <v>0</v>
          </cell>
        </row>
        <row r="326">
          <cell r="B326" t="str">
            <v>E3980001</v>
          </cell>
          <cell r="C326" t="str">
            <v>MISCELLANEOUS EQUIPMENT</v>
          </cell>
          <cell r="Q326">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ow r="418">
          <cell r="K418">
            <v>36553316.289999999</v>
          </cell>
        </row>
      </sheetData>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rnado"/>
      <sheetName val="Data"/>
    </sheetNames>
    <sheetDataSet>
      <sheetData sheetId="0" refreshError="1"/>
      <sheetData sheetId="1" refreshError="1">
        <row r="18">
          <cell r="B18">
            <v>2006.02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s>
    <sheetDataSet>
      <sheetData sheetId="0">
        <row r="26">
          <cell r="B26">
            <v>5843.9299999999994</v>
          </cell>
        </row>
        <row r="27">
          <cell r="B27">
            <v>5371.0700000000015</v>
          </cell>
        </row>
        <row r="28">
          <cell r="B28">
            <v>7111.0899999999992</v>
          </cell>
        </row>
        <row r="29">
          <cell r="B29">
            <v>7243.9700000000012</v>
          </cell>
        </row>
        <row r="30">
          <cell r="B30">
            <v>7896.2499999999982</v>
          </cell>
        </row>
        <row r="31">
          <cell r="B31">
            <v>9200.7500000000018</v>
          </cell>
        </row>
        <row r="32">
          <cell r="B32">
            <v>9202.7699999999986</v>
          </cell>
        </row>
        <row r="33">
          <cell r="B33">
            <v>9147.09</v>
          </cell>
        </row>
        <row r="34">
          <cell r="B34">
            <v>8519.1699999999983</v>
          </cell>
        </row>
        <row r="35">
          <cell r="B35">
            <v>7775.489999999998</v>
          </cell>
        </row>
        <row r="36">
          <cell r="B36">
            <v>8279.8799999999992</v>
          </cell>
        </row>
        <row r="37">
          <cell r="B37">
            <v>7376.0800000000027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proj AIS ForecastInput Sheet"/>
      <sheetName val="Work Plan"/>
      <sheetName val="YE Forecast Summary CWIP BAL"/>
      <sheetName val="Highlights Report"/>
      <sheetName val="AFUDC Indicator"/>
      <sheetName val="AFUDC Indicator (2)"/>
      <sheetName val="AFUDC &amp; Interest"/>
      <sheetName val="EDP&amp;L  Mgt View"/>
      <sheetName val="2013 Business Plan"/>
      <sheetName val="by proj AIS ForecastInput S (2)"/>
      <sheetName val="YE Forecast Summary"/>
      <sheetName val="CostData"/>
      <sheetName val="CostHisto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ponsible Parties"/>
      <sheetName val="Customer Operations"/>
      <sheetName val="YTD PIP Status"/>
      <sheetName val="Definitions &amp; Accountability"/>
      <sheetName val="PIP Forecast"/>
      <sheetName val="2009 History"/>
      <sheetName val="2010 Monthly Targets"/>
      <sheetName val="2010_CO_ScoreCard"/>
    </sheetNames>
    <sheetDataSet>
      <sheetData sheetId="0" refreshError="1"/>
      <sheetData sheetId="1" refreshError="1">
        <row r="8">
          <cell r="A8" t="str">
            <v>OSHA Days Away Rate (Severity)</v>
          </cell>
          <cell r="P8" t="str">
            <v>OSHA Recordable Incidence Rate</v>
          </cell>
          <cell r="Q8" t="str">
            <v>L</v>
          </cell>
          <cell r="R8">
            <v>0</v>
          </cell>
          <cell r="S8">
            <v>1.1499999999999999</v>
          </cell>
          <cell r="T8" t="str">
            <v>+</v>
          </cell>
          <cell r="U8">
            <v>0.79</v>
          </cell>
          <cell r="V8">
            <v>0</v>
          </cell>
          <cell r="W8">
            <v>2.35</v>
          </cell>
          <cell r="X8">
            <v>0</v>
          </cell>
          <cell r="Y8">
            <v>0</v>
          </cell>
          <cell r="Z8">
            <v>0</v>
          </cell>
          <cell r="AA8">
            <v>0</v>
          </cell>
          <cell r="AB8">
            <v>0</v>
          </cell>
          <cell r="AC8">
            <v>0</v>
          </cell>
        </row>
        <row r="9">
          <cell r="P9" t="str">
            <v>OSHA Days Away Rate (Severity)</v>
          </cell>
          <cell r="Q9" t="str">
            <v>L</v>
          </cell>
          <cell r="R9">
            <v>0</v>
          </cell>
          <cell r="S9">
            <v>1.61</v>
          </cell>
          <cell r="T9" t="str">
            <v>-</v>
          </cell>
          <cell r="U9">
            <v>11.84</v>
          </cell>
          <cell r="V9">
            <v>0</v>
          </cell>
          <cell r="W9">
            <v>35.31</v>
          </cell>
          <cell r="X9">
            <v>0</v>
          </cell>
          <cell r="Y9">
            <v>0</v>
          </cell>
          <cell r="Z9">
            <v>0</v>
          </cell>
          <cell r="AA9">
            <v>0</v>
          </cell>
          <cell r="AB9">
            <v>0</v>
          </cell>
          <cell r="AC9">
            <v>0</v>
          </cell>
        </row>
        <row r="10">
          <cell r="P10" t="str">
            <v>Motor Vehicle Accident Rate</v>
          </cell>
          <cell r="Q10" t="str">
            <v>L</v>
          </cell>
          <cell r="R10">
            <v>0</v>
          </cell>
          <cell r="S10">
            <v>3.21</v>
          </cell>
          <cell r="T10" t="str">
            <v>-</v>
          </cell>
          <cell r="U10">
            <v>10.02</v>
          </cell>
          <cell r="V10">
            <v>0</v>
          </cell>
          <cell r="W10">
            <v>12.8</v>
          </cell>
          <cell r="X10">
            <v>0</v>
          </cell>
          <cell r="Y10">
            <v>0</v>
          </cell>
          <cell r="Z10">
            <v>0</v>
          </cell>
          <cell r="AA10">
            <v>0</v>
          </cell>
          <cell r="AB10">
            <v>0</v>
          </cell>
          <cell r="AC10">
            <v>0</v>
          </cell>
        </row>
        <row r="11">
          <cell r="P11" t="str">
            <v>Availability - Illness</v>
          </cell>
          <cell r="Q11" t="str">
            <v>H</v>
          </cell>
          <cell r="R11">
            <v>0.96799999999999997</v>
          </cell>
          <cell r="S11">
            <v>0.97299999999999998</v>
          </cell>
          <cell r="T11" t="str">
            <v>-</v>
          </cell>
          <cell r="U11">
            <v>0.95599999999999996</v>
          </cell>
          <cell r="V11">
            <v>0.93799999999999994</v>
          </cell>
          <cell r="W11">
            <v>0.97899999999999998</v>
          </cell>
          <cell r="X11">
            <v>0.95699999999999996</v>
          </cell>
          <cell r="Y11">
            <v>0.91100000000000003</v>
          </cell>
          <cell r="Z11">
            <v>0.999</v>
          </cell>
          <cell r="AA11">
            <v>0.99199999999999999</v>
          </cell>
          <cell r="AB11">
            <v>1</v>
          </cell>
          <cell r="AC11">
            <v>0.96499999999999997</v>
          </cell>
        </row>
        <row r="12">
          <cell r="P12" t="str">
            <v>Staffing Levels - Permanent</v>
          </cell>
          <cell r="Q12" t="str">
            <v>L</v>
          </cell>
          <cell r="R12">
            <v>1607</v>
          </cell>
          <cell r="S12">
            <v>1489</v>
          </cell>
          <cell r="T12" t="str">
            <v>-</v>
          </cell>
          <cell r="U12">
            <v>1511</v>
          </cell>
          <cell r="V12">
            <v>463</v>
          </cell>
          <cell r="W12">
            <v>529</v>
          </cell>
          <cell r="X12">
            <v>204</v>
          </cell>
          <cell r="Y12">
            <v>188</v>
          </cell>
          <cell r="Z12">
            <v>52</v>
          </cell>
          <cell r="AA12">
            <v>31</v>
          </cell>
          <cell r="AB12">
            <v>11</v>
          </cell>
          <cell r="AC12">
            <v>33</v>
          </cell>
        </row>
        <row r="13">
          <cell r="P13" t="str">
            <v>Overtime</v>
          </cell>
          <cell r="Q13" t="str">
            <v>L</v>
          </cell>
          <cell r="R13">
            <v>9.8000000000000004E-2</v>
          </cell>
          <cell r="S13">
            <v>2.5999999999999999E-2</v>
          </cell>
          <cell r="T13" t="str">
            <v>-</v>
          </cell>
          <cell r="U13">
            <v>9.8000000000000004E-2</v>
          </cell>
          <cell r="V13">
            <v>0.17599999999999999</v>
          </cell>
          <cell r="W13">
            <v>2.5000000000000001E-2</v>
          </cell>
          <cell r="X13">
            <v>0.17499999999999999</v>
          </cell>
          <cell r="Y13">
            <v>0.06</v>
          </cell>
          <cell r="Z13">
            <v>7.0000000000000001E-3</v>
          </cell>
          <cell r="AA13">
            <v>3.4000000000000002E-2</v>
          </cell>
          <cell r="AB13">
            <v>0</v>
          </cell>
          <cell r="AC13">
            <v>1.4999999999999999E-2</v>
          </cell>
        </row>
        <row r="14">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P16" t="str">
            <v>Corporate Culture for Ethics and Compliance</v>
          </cell>
          <cell r="Q16" t="str">
            <v>H</v>
          </cell>
          <cell r="R16">
            <v>0.51</v>
          </cell>
          <cell r="S16">
            <v>0.62</v>
          </cell>
          <cell r="T16" t="str">
            <v>+</v>
          </cell>
          <cell r="U16">
            <v>0.65</v>
          </cell>
          <cell r="V16" t="str">
            <v>Billing &amp; Rev Ops</v>
          </cell>
          <cell r="W16" t="str">
            <v>iPower &amp; AMR</v>
          </cell>
          <cell r="X16" t="str">
            <v>LCS &amp; AD</v>
          </cell>
          <cell r="Y16" t="str">
            <v>UM</v>
          </cell>
          <cell r="Z16" t="str">
            <v>VP &amp; Support</v>
          </cell>
        </row>
        <row r="17">
          <cell r="P17">
            <v>0.86199999999999999</v>
          </cell>
          <cell r="Q17">
            <v>0.90300000000000002</v>
          </cell>
          <cell r="R17" t="str">
            <v>-</v>
          </cell>
          <cell r="S17">
            <v>0.85399999999999998</v>
          </cell>
          <cell r="U17">
            <v>0.85399999999999998</v>
          </cell>
        </row>
        <row r="18">
          <cell r="P18" t="str">
            <v>SAFE (reliable)</v>
          </cell>
          <cell r="Q18" t="str">
            <v>Customer Operations</v>
          </cell>
          <cell r="R18" t="str">
            <v>-</v>
          </cell>
          <cell r="S18">
            <v>0.745</v>
          </cell>
          <cell r="T18">
            <v>0.745</v>
          </cell>
        </row>
        <row r="19">
          <cell r="P19">
            <v>5.0999999999999997E-2</v>
          </cell>
          <cell r="Q19" t="str">
            <v>L/H</v>
          </cell>
          <cell r="R19" t="str">
            <v>November 08</v>
          </cell>
          <cell r="S19" t="str">
            <v>2009 Target</v>
          </cell>
          <cell r="T19" t="str">
            <v>Monthly / Quarterly Status</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Percent of Actual Meters Read</v>
          </cell>
          <cell r="B20" t="str">
            <v>H</v>
          </cell>
          <cell r="C20">
            <v>0.90100000000000002</v>
          </cell>
          <cell r="D20">
            <v>0.90100000000000002</v>
          </cell>
          <cell r="E20" t="str">
            <v>ê</v>
          </cell>
          <cell r="F20">
            <v>0.88400000000000001</v>
          </cell>
          <cell r="H20">
            <v>0.88400000000000001</v>
          </cell>
          <cell r="P20" t="str">
            <v>Percent of Actual Meters Read</v>
          </cell>
          <cell r="Q20" t="str">
            <v>H</v>
          </cell>
          <cell r="R20">
            <v>0.90300000000000002</v>
          </cell>
          <cell r="S20">
            <v>0.90100000000000002</v>
          </cell>
          <cell r="T20" t="str">
            <v>-</v>
          </cell>
          <cell r="U20">
            <v>0.89500000000000002</v>
          </cell>
          <cell r="W20">
            <v>0.89500000000000002</v>
          </cell>
        </row>
        <row r="21">
          <cell r="A21" t="str">
            <v>Meters Not Read &gt;7 Months (K)</v>
          </cell>
          <cell r="B21" t="str">
            <v>L</v>
          </cell>
          <cell r="C21">
            <v>63</v>
          </cell>
          <cell r="D21">
            <v>55.2</v>
          </cell>
          <cell r="E21" t="str">
            <v>é</v>
          </cell>
          <cell r="F21">
            <v>12185</v>
          </cell>
          <cell r="I21">
            <v>12185</v>
          </cell>
          <cell r="P21" t="str">
            <v>Meters Not Read &gt;7 Months (K)</v>
          </cell>
          <cell r="Q21" t="str">
            <v>L</v>
          </cell>
          <cell r="R21">
            <v>63</v>
          </cell>
          <cell r="S21">
            <v>55.2</v>
          </cell>
          <cell r="V21">
            <v>12094</v>
          </cell>
        </row>
        <row r="22">
          <cell r="A22" t="str">
            <v>MR Errors/10,000 Reads</v>
          </cell>
          <cell r="B22" t="str">
            <v>L</v>
          </cell>
          <cell r="C22">
            <v>4</v>
          </cell>
          <cell r="D22">
            <v>3.9</v>
          </cell>
          <cell r="E22" t="str">
            <v>é</v>
          </cell>
          <cell r="F22">
            <v>3.9</v>
          </cell>
          <cell r="H22">
            <v>3.9</v>
          </cell>
          <cell r="I22">
            <v>0.99680999999999997</v>
          </cell>
          <cell r="P22" t="str">
            <v>MR Errors/10,000 Reads</v>
          </cell>
          <cell r="Q22" t="str">
            <v>L</v>
          </cell>
          <cell r="R22">
            <v>2.7</v>
          </cell>
          <cell r="S22">
            <v>3.9</v>
          </cell>
          <cell r="T22" t="str">
            <v>-</v>
          </cell>
          <cell r="U22">
            <v>5.3</v>
          </cell>
          <cell r="V22">
            <v>0.99490000000000001</v>
          </cell>
          <cell r="W22">
            <v>5.3</v>
          </cell>
        </row>
        <row r="23">
          <cell r="A23" t="str">
            <v>Gen'l Inquiry Service Level (30 sec.)</v>
          </cell>
          <cell r="B23" t="str">
            <v>H</v>
          </cell>
          <cell r="C23">
            <v>0.76</v>
          </cell>
          <cell r="D23" t="str">
            <v>51.0% 2</v>
          </cell>
          <cell r="E23" t="str">
            <v>é</v>
          </cell>
          <cell r="F23">
            <v>0.61399999999999999</v>
          </cell>
          <cell r="G23">
            <v>0.61399999999999999</v>
          </cell>
          <cell r="P23" t="str">
            <v>Gen'l Inquiry Service Level (30 sec.)</v>
          </cell>
          <cell r="Q23" t="str">
            <v>H</v>
          </cell>
          <cell r="R23">
            <v>0.70199999999999996</v>
          </cell>
          <cell r="S23">
            <v>0.51</v>
          </cell>
          <cell r="T23" t="str">
            <v>+</v>
          </cell>
          <cell r="U23">
            <v>0.69499999999999995</v>
          </cell>
          <cell r="V23">
            <v>0.69499999999999995</v>
          </cell>
        </row>
        <row r="24">
          <cell r="A24" t="str">
            <v>Abandonment Rate - Inbound Collections</v>
          </cell>
          <cell r="B24" t="str">
            <v>L</v>
          </cell>
          <cell r="C24">
            <v>0.109</v>
          </cell>
          <cell r="D24">
            <v>0.109</v>
          </cell>
          <cell r="E24" t="str">
            <v>ê</v>
          </cell>
          <cell r="F24">
            <v>0.17100000000000001</v>
          </cell>
          <cell r="G24">
            <v>0.17100000000000001</v>
          </cell>
          <cell r="H24">
            <v>169</v>
          </cell>
          <cell r="I24">
            <v>695</v>
          </cell>
          <cell r="K24">
            <v>17</v>
          </cell>
          <cell r="P24" t="str">
            <v>Abandonment Rate - Inbound Collections</v>
          </cell>
          <cell r="Q24" t="str">
            <v>L</v>
          </cell>
          <cell r="R24">
            <v>0.09</v>
          </cell>
          <cell r="S24">
            <v>0.109</v>
          </cell>
          <cell r="T24" t="str">
            <v>-</v>
          </cell>
          <cell r="U24">
            <v>0.151</v>
          </cell>
          <cell r="V24">
            <v>0.151</v>
          </cell>
          <cell r="X24">
            <v>1</v>
          </cell>
        </row>
        <row r="25">
          <cell r="A25" t="str">
            <v>First Contact Resolution</v>
          </cell>
          <cell r="B25" t="str">
            <v>H</v>
          </cell>
          <cell r="C25" t="str">
            <v>n/a</v>
          </cell>
          <cell r="D25" t="str">
            <v>Tracking</v>
          </cell>
          <cell r="E25" t="str">
            <v>é</v>
          </cell>
          <cell r="F25">
            <v>76</v>
          </cell>
          <cell r="P25" t="str">
            <v>First Contact Resolution</v>
          </cell>
          <cell r="Q25" t="str">
            <v>H</v>
          </cell>
          <cell r="R25">
            <v>0.86</v>
          </cell>
          <cell r="S25" t="str">
            <v>Tracking</v>
          </cell>
        </row>
        <row r="26">
          <cell r="A26" t="str">
            <v>Accounts Converted to Bills and Printed (%)</v>
          </cell>
          <cell r="B26" t="str">
            <v>H</v>
          </cell>
          <cell r="C26">
            <v>0.98699999999999999</v>
          </cell>
          <cell r="D26">
            <v>0.98799999999999999</v>
          </cell>
          <cell r="E26" t="str">
            <v>é</v>
          </cell>
          <cell r="F26">
            <v>76</v>
          </cell>
          <cell r="P26" t="str">
            <v>Accounts Converted to Bills and Printed (%)</v>
          </cell>
          <cell r="Q26" t="str">
            <v>H</v>
          </cell>
          <cell r="R26">
            <v>0.99299999999999999</v>
          </cell>
          <cell r="S26">
            <v>0.98799999999999999</v>
          </cell>
        </row>
        <row r="27">
          <cell r="A27" t="str">
            <v>Billing Exception Time</v>
          </cell>
          <cell r="B27" t="str">
            <v>L</v>
          </cell>
          <cell r="C27">
            <v>3.8</v>
          </cell>
          <cell r="D27">
            <v>3.6</v>
          </cell>
          <cell r="E27" t="str">
            <v>é</v>
          </cell>
          <cell r="F27">
            <v>75</v>
          </cell>
          <cell r="P27" t="str">
            <v>Billing Exception Time</v>
          </cell>
          <cell r="Q27" t="str">
            <v>L</v>
          </cell>
          <cell r="R27">
            <v>2.7</v>
          </cell>
          <cell r="S27">
            <v>3.6</v>
          </cell>
        </row>
        <row r="28">
          <cell r="A28" t="str">
            <v>Payments Deposited within 1 Bus Day (%)</v>
          </cell>
          <cell r="B28" t="str">
            <v>H</v>
          </cell>
          <cell r="C28">
            <v>0.94699999999999995</v>
          </cell>
          <cell r="D28">
            <v>0.96499999999999997</v>
          </cell>
          <cell r="E28" t="str">
            <v>é</v>
          </cell>
          <cell r="F28">
            <v>0.98899999999999999</v>
          </cell>
          <cell r="G28">
            <v>8.3000000000000007</v>
          </cell>
          <cell r="I28">
            <v>0.98899999999999999</v>
          </cell>
          <cell r="P28" t="str">
            <v>Payments Deposited within 1 Bus Day (%)</v>
          </cell>
          <cell r="Q28" t="str">
            <v>H</v>
          </cell>
          <cell r="R28">
            <v>0.91200000000000003</v>
          </cell>
          <cell r="S28">
            <v>0.96499999999999997</v>
          </cell>
          <cell r="T28" t="str">
            <v>+</v>
          </cell>
          <cell r="U28">
            <v>1</v>
          </cell>
          <cell r="V28">
            <v>7.4</v>
          </cell>
          <cell r="X28">
            <v>1</v>
          </cell>
        </row>
        <row r="29">
          <cell r="A29" t="str">
            <v>Participation in Auto-Pay</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Cashier Errors</v>
          </cell>
          <cell r="B30" t="str">
            <v>L</v>
          </cell>
          <cell r="C30">
            <v>3.8</v>
          </cell>
          <cell r="D30">
            <v>3.7</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t="str">
            <v>Cashier Errors</v>
          </cell>
          <cell r="Q30" t="str">
            <v>L</v>
          </cell>
          <cell r="R30">
            <v>5.5</v>
          </cell>
          <cell r="S30">
            <v>3.7</v>
          </cell>
          <cell r="T30" t="str">
            <v>Cust Cont</v>
          </cell>
          <cell r="U30" t="str">
            <v>Dist Ops</v>
          </cell>
          <cell r="V30" t="str">
            <v>Billing &amp; Rev Ops</v>
          </cell>
          <cell r="W30" t="str">
            <v>iPower &amp; AMR</v>
          </cell>
          <cell r="X30" t="str">
            <v>LCS &amp; AD</v>
          </cell>
          <cell r="Y30" t="str">
            <v>UM</v>
          </cell>
          <cell r="Z30" t="str">
            <v>VP &amp; Support</v>
          </cell>
        </row>
        <row r="31">
          <cell r="A31" t="str">
            <v>BPU Inquiry Rate-Collection</v>
          </cell>
          <cell r="B31" t="str">
            <v>L</v>
          </cell>
          <cell r="C31">
            <v>1.27</v>
          </cell>
          <cell r="D31">
            <v>1.25</v>
          </cell>
          <cell r="E31" t="str">
            <v>ê</v>
          </cell>
          <cell r="F31">
            <v>1.84</v>
          </cell>
          <cell r="M31">
            <v>13</v>
          </cell>
          <cell r="P31" t="str">
            <v>BPU Inquiry Rate-Collection</v>
          </cell>
          <cell r="Q31" t="str">
            <v>L</v>
          </cell>
          <cell r="R31">
            <v>1.29</v>
          </cell>
          <cell r="S31">
            <v>1.25</v>
          </cell>
          <cell r="T31" t="str">
            <v>+</v>
          </cell>
          <cell r="U31">
            <v>0.99</v>
          </cell>
          <cell r="Z31">
            <v>3.34</v>
          </cell>
        </row>
        <row r="32">
          <cell r="A32" t="str">
            <v>BPU Inquiries - Non-Collection</v>
          </cell>
          <cell r="B32" t="str">
            <v>L</v>
          </cell>
          <cell r="C32">
            <v>839</v>
          </cell>
          <cell r="D32">
            <v>1038</v>
          </cell>
          <cell r="E32" t="str">
            <v>ê</v>
          </cell>
          <cell r="F32">
            <v>2193</v>
          </cell>
          <cell r="G32">
            <v>511</v>
          </cell>
          <cell r="H32">
            <v>324</v>
          </cell>
          <cell r="I32">
            <v>1310</v>
          </cell>
          <cell r="J32">
            <v>48</v>
          </cell>
          <cell r="K32">
            <v>6.18</v>
          </cell>
          <cell r="L32">
            <v>10.108000000000001</v>
          </cell>
          <cell r="M32">
            <v>77.900000000000006</v>
          </cell>
          <cell r="P32" t="str">
            <v>BPU Inquiries - Non-Collection</v>
          </cell>
          <cell r="Q32" t="str">
            <v>L</v>
          </cell>
          <cell r="R32">
            <v>57</v>
          </cell>
          <cell r="S32">
            <v>68.059025322466994</v>
          </cell>
          <cell r="T32" t="str">
            <v>-</v>
          </cell>
          <cell r="U32">
            <v>233</v>
          </cell>
          <cell r="V32">
            <v>24</v>
          </cell>
          <cell r="W32">
            <v>17</v>
          </cell>
          <cell r="X32">
            <v>186</v>
          </cell>
          <cell r="Y32">
            <v>6</v>
          </cell>
          <cell r="Z32">
            <v>4.8</v>
          </cell>
        </row>
        <row r="33">
          <cell r="A33" t="str">
            <v>Perception Survey (Res/Sm Business)</v>
          </cell>
          <cell r="B33" t="str">
            <v>H</v>
          </cell>
          <cell r="C33">
            <v>75</v>
          </cell>
          <cell r="D33">
            <v>76</v>
          </cell>
          <cell r="E33" t="str">
            <v>ê</v>
          </cell>
          <cell r="F33">
            <v>74</v>
          </cell>
          <cell r="I33">
            <v>1.46</v>
          </cell>
          <cell r="P33" t="str">
            <v>Perception Survey (Res/Sm Business)</v>
          </cell>
          <cell r="Q33" t="str">
            <v>H</v>
          </cell>
          <cell r="R33">
            <v>76</v>
          </cell>
          <cell r="S33">
            <v>76</v>
          </cell>
          <cell r="T33" t="str">
            <v>-</v>
          </cell>
          <cell r="U33">
            <v>73</v>
          </cell>
          <cell r="V33">
            <v>0.88</v>
          </cell>
        </row>
        <row r="34">
          <cell r="A34" t="str">
            <v>Perception Survey (Large Business)</v>
          </cell>
          <cell r="B34" t="str">
            <v>H</v>
          </cell>
          <cell r="C34">
            <v>76</v>
          </cell>
          <cell r="D34">
            <v>77</v>
          </cell>
          <cell r="E34" t="str">
            <v>ê</v>
          </cell>
          <cell r="F34">
            <v>75</v>
          </cell>
          <cell r="I34">
            <v>40.94</v>
          </cell>
          <cell r="P34" t="str">
            <v>Perception Survey (Large Business)</v>
          </cell>
          <cell r="Q34" t="str">
            <v>H</v>
          </cell>
          <cell r="R34">
            <v>74</v>
          </cell>
          <cell r="S34">
            <v>77</v>
          </cell>
          <cell r="T34" t="str">
            <v>-</v>
          </cell>
          <cell r="U34">
            <v>74</v>
          </cell>
          <cell r="V34">
            <v>36.46</v>
          </cell>
        </row>
        <row r="35">
          <cell r="A35" t="str">
            <v>Moment of Truth Survey</v>
          </cell>
          <cell r="B35" t="str">
            <v>H</v>
          </cell>
          <cell r="C35">
            <v>8.6999999999999993</v>
          </cell>
          <cell r="D35">
            <v>8.6999999999999993</v>
          </cell>
          <cell r="E35" t="str">
            <v>ê</v>
          </cell>
          <cell r="F35">
            <v>8.1999999999999993</v>
          </cell>
          <cell r="G35">
            <v>8.1</v>
          </cell>
          <cell r="I35">
            <v>0.20380000000000001</v>
          </cell>
          <cell r="J35">
            <v>8.5</v>
          </cell>
          <cell r="P35" t="str">
            <v>Moment of Truth Survey</v>
          </cell>
          <cell r="Q35" t="str">
            <v>H</v>
          </cell>
          <cell r="R35" t="str">
            <v>Quarterly</v>
          </cell>
          <cell r="S35">
            <v>8.6999999999999993</v>
          </cell>
          <cell r="U35" t="str">
            <v>Quarterly</v>
          </cell>
          <cell r="V35" t="str">
            <v>Qtrly</v>
          </cell>
          <cell r="Y35" t="str">
            <v>Qtrly</v>
          </cell>
        </row>
        <row r="36">
          <cell r="A36" t="str">
            <v>New Business Construction Survey-CO</v>
          </cell>
          <cell r="B36" t="str">
            <v>H</v>
          </cell>
          <cell r="C36">
            <v>8.3000000000000007</v>
          </cell>
          <cell r="D36">
            <v>8.4</v>
          </cell>
          <cell r="E36" t="str">
            <v>ê</v>
          </cell>
          <cell r="F36">
            <v>8.1</v>
          </cell>
          <cell r="G36">
            <v>8.1</v>
          </cell>
          <cell r="K36">
            <v>6.4329520000000002</v>
          </cell>
          <cell r="P36" t="str">
            <v>New Business Construction Survey-CO</v>
          </cell>
          <cell r="Q36" t="str">
            <v>H</v>
          </cell>
          <cell r="R36" t="str">
            <v>Quarterly</v>
          </cell>
          <cell r="S36">
            <v>8.4</v>
          </cell>
          <cell r="U36" t="str">
            <v>Quarterly</v>
          </cell>
          <cell r="V36" t="str">
            <v>Qtrly</v>
          </cell>
          <cell r="X36">
            <v>0.20849899999999999</v>
          </cell>
          <cell r="Y36" t="str">
            <v>Qtrly</v>
          </cell>
        </row>
        <row r="37">
          <cell r="A37" t="str">
            <v>Client Value Assessment</v>
          </cell>
          <cell r="B37" t="str">
            <v>H</v>
          </cell>
          <cell r="C37">
            <v>8.1000000000000003E-2</v>
          </cell>
          <cell r="D37">
            <v>8.4</v>
          </cell>
          <cell r="E37" t="str">
            <v>é</v>
          </cell>
          <cell r="F37">
            <v>8.9</v>
          </cell>
          <cell r="L37">
            <v>141.6</v>
          </cell>
          <cell r="M37">
            <v>8.9</v>
          </cell>
          <cell r="P37" t="str">
            <v>Client Value Assessment</v>
          </cell>
          <cell r="Q37" t="str">
            <v>H</v>
          </cell>
          <cell r="R37" t="str">
            <v>Semi-Annual</v>
          </cell>
          <cell r="S37">
            <v>8.4</v>
          </cell>
          <cell r="U37" t="str">
            <v>SemiAnnul</v>
          </cell>
          <cell r="Y37">
            <v>12.8</v>
          </cell>
          <cell r="AB37" t="str">
            <v>SemiAn</v>
          </cell>
        </row>
        <row r="38">
          <cell r="A38" t="str">
            <v>Constituent Satisfaction Index</v>
          </cell>
          <cell r="B38" t="str">
            <v>H</v>
          </cell>
          <cell r="C38">
            <v>7.2</v>
          </cell>
          <cell r="D38">
            <v>7.2</v>
          </cell>
          <cell r="E38" t="str">
            <v>é</v>
          </cell>
          <cell r="F38">
            <v>7.6</v>
          </cell>
          <cell r="J38">
            <v>7.4</v>
          </cell>
          <cell r="M38">
            <v>7.9</v>
          </cell>
          <cell r="P38" t="str">
            <v>Constituent Satisfaction Index</v>
          </cell>
          <cell r="Q38" t="str">
            <v>H</v>
          </cell>
          <cell r="R38">
            <v>7.2</v>
          </cell>
          <cell r="S38">
            <v>7.2</v>
          </cell>
          <cell r="T38" t="str">
            <v>+</v>
          </cell>
          <cell r="U38">
            <v>8.1999999999999993</v>
          </cell>
          <cell r="Y38">
            <v>8.1999999999999993</v>
          </cell>
          <cell r="AB38">
            <v>8.3000000000000007</v>
          </cell>
        </row>
        <row r="39">
          <cell r="A39" t="str">
            <v>SOX Test Failure</v>
          </cell>
          <cell r="B39" t="str">
            <v>L</v>
          </cell>
          <cell r="C39">
            <v>0</v>
          </cell>
          <cell r="D39">
            <v>2</v>
          </cell>
          <cell r="E39" t="str">
            <v>ê</v>
          </cell>
          <cell r="F39">
            <v>5</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2 Exluding first 10 Days after the iPower 'Go-Live'</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ECONOMIC</v>
          </cell>
          <cell r="B42" t="str">
            <v>Customer Operations</v>
          </cell>
          <cell r="C42">
            <v>0.221</v>
          </cell>
          <cell r="D42">
            <v>0.22</v>
          </cell>
          <cell r="E42" t="str">
            <v>é</v>
          </cell>
          <cell r="F42">
            <v>0.27800000000000002</v>
          </cell>
          <cell r="G42">
            <v>0.27800000000000002</v>
          </cell>
          <cell r="P42" t="str">
            <v>ECONOMIC</v>
          </cell>
          <cell r="Q42" t="str">
            <v>Customer Operations</v>
          </cell>
          <cell r="R42" t="str">
            <v>+</v>
          </cell>
          <cell r="S42">
            <v>0.29199999999999998</v>
          </cell>
          <cell r="T42">
            <v>0.29199999999999998</v>
          </cell>
        </row>
        <row r="43">
          <cell r="P43">
            <v>0.02</v>
          </cell>
          <cell r="Q43" t="str">
            <v>L/H</v>
          </cell>
          <cell r="R43" t="str">
            <v>November 08</v>
          </cell>
          <cell r="S43" t="str">
            <v>2009 Target</v>
          </cell>
          <cell r="T43" t="str">
            <v>Monthly / Quarterly Status</v>
          </cell>
          <cell r="U43" t="str">
            <v>Cust Ops</v>
          </cell>
          <cell r="V43" t="str">
            <v>Cust Cont</v>
          </cell>
          <cell r="W43" t="str">
            <v>Dist Ops</v>
          </cell>
          <cell r="X43" t="str">
            <v>Billing &amp; Rev Ops</v>
          </cell>
          <cell r="Y43" t="str">
            <v>Com Rel &amp; CSC</v>
          </cell>
          <cell r="Z43" t="str">
            <v>LCS &amp; AD</v>
          </cell>
          <cell r="AA43" t="str">
            <v>UM</v>
          </cell>
          <cell r="AB43" t="str">
            <v>RPA</v>
          </cell>
          <cell r="AC43" t="str">
            <v>VP &amp; Support</v>
          </cell>
        </row>
        <row r="44">
          <cell r="P44" t="str">
            <v>CapEx ($M)</v>
          </cell>
          <cell r="Q44" t="str">
            <v>L</v>
          </cell>
          <cell r="R44">
            <v>0.6</v>
          </cell>
          <cell r="S44">
            <v>0.83241392000000003</v>
          </cell>
          <cell r="T44" t="str">
            <v>+</v>
          </cell>
          <cell r="U44">
            <v>7.0000000000000007E-2</v>
          </cell>
          <cell r="X44">
            <v>9.4</v>
          </cell>
          <cell r="AC44">
            <v>7.0000000000000007E-2</v>
          </cell>
        </row>
        <row r="45">
          <cell r="P45" t="str">
            <v>iPower CapEx ($M)</v>
          </cell>
          <cell r="Q45" t="str">
            <v>L</v>
          </cell>
          <cell r="R45">
            <v>4.2</v>
          </cell>
          <cell r="S45">
            <v>0</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P55" t="str">
            <v>Contract Revenue ($M)</v>
          </cell>
          <cell r="Q55" t="str">
            <v>H</v>
          </cell>
          <cell r="R55">
            <v>6.9</v>
          </cell>
          <cell r="S55">
            <v>7.0078522185032197</v>
          </cell>
          <cell r="T55" t="str">
            <v>+</v>
          </cell>
          <cell r="U55">
            <v>7.5</v>
          </cell>
          <cell r="AA55">
            <v>7.5</v>
          </cell>
        </row>
        <row r="56">
          <cell r="P56" t="str">
            <v>AWH Revenue ($M)</v>
          </cell>
          <cell r="Q56" t="str">
            <v>H</v>
          </cell>
          <cell r="R56">
            <v>1.2</v>
          </cell>
          <cell r="S56">
            <v>1.267496</v>
          </cell>
          <cell r="T56" t="str">
            <v>+</v>
          </cell>
          <cell r="U56">
            <v>1.4</v>
          </cell>
          <cell r="AA56">
            <v>1.4</v>
          </cell>
        </row>
        <row r="57">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ons &amp; Accountability"/>
      <sheetName val="Customer Operations"/>
      <sheetName val="PIP Forecast"/>
      <sheetName val="2009 History"/>
      <sheetName val="2010 Monthly Targets"/>
      <sheetName val="2010_CO_ScoreCard"/>
      <sheetName val="Responsible Parties"/>
      <sheetName val="YTD PIP Status"/>
    </sheetNames>
    <sheetDataSet>
      <sheetData sheetId="0"/>
      <sheetData sheetId="1" refreshError="1">
        <row r="8">
          <cell r="A8" t="str">
            <v>OSHA Days Away Rate (Severity)</v>
          </cell>
          <cell r="B8" t="str">
            <v>L</v>
          </cell>
          <cell r="C8">
            <v>19.309999999999999</v>
          </cell>
          <cell r="D8">
            <v>1.69</v>
          </cell>
          <cell r="E8" t="str">
            <v>ê</v>
          </cell>
          <cell r="F8">
            <v>9.93</v>
          </cell>
          <cell r="G8">
            <v>0</v>
          </cell>
          <cell r="H8">
            <v>27.81</v>
          </cell>
          <cell r="I8">
            <v>0</v>
          </cell>
          <cell r="J8">
            <v>0</v>
          </cell>
          <cell r="K8">
            <v>0</v>
          </cell>
          <cell r="L8">
            <v>0</v>
          </cell>
          <cell r="M8">
            <v>0</v>
          </cell>
          <cell r="P8">
            <v>0</v>
          </cell>
          <cell r="Q8">
            <v>1.69</v>
          </cell>
          <cell r="R8" t="str">
            <v>+</v>
          </cell>
          <cell r="S8">
            <v>0</v>
          </cell>
          <cell r="T8">
            <v>0</v>
          </cell>
          <cell r="U8">
            <v>0</v>
          </cell>
          <cell r="V8">
            <v>0</v>
          </cell>
          <cell r="W8">
            <v>0</v>
          </cell>
          <cell r="X8">
            <v>0</v>
          </cell>
          <cell r="Y8">
            <v>0</v>
          </cell>
          <cell r="Z8">
            <v>0</v>
          </cell>
          <cell r="AA8">
            <v>0</v>
          </cell>
          <cell r="AB8">
            <v>0</v>
          </cell>
          <cell r="AC8">
            <v>0</v>
          </cell>
        </row>
        <row r="9">
          <cell r="A9" t="str">
            <v>Motor Vehicle Accident Rate</v>
          </cell>
          <cell r="B9" t="str">
            <v>L</v>
          </cell>
          <cell r="C9">
            <v>5.24</v>
          </cell>
          <cell r="D9">
            <v>2.82</v>
          </cell>
          <cell r="E9" t="str">
            <v>ê</v>
          </cell>
          <cell r="F9">
            <v>3.74</v>
          </cell>
          <cell r="G9">
            <v>0</v>
          </cell>
          <cell r="H9">
            <v>4.57</v>
          </cell>
          <cell r="I9">
            <v>0</v>
          </cell>
          <cell r="J9">
            <v>0</v>
          </cell>
          <cell r="K9">
            <v>0</v>
          </cell>
          <cell r="L9">
            <v>0</v>
          </cell>
          <cell r="M9">
            <v>0</v>
          </cell>
          <cell r="P9">
            <v>2.56</v>
          </cell>
          <cell r="Q9">
            <v>2.82</v>
          </cell>
          <cell r="R9" t="str">
            <v>+</v>
          </cell>
          <cell r="S9">
            <v>0</v>
          </cell>
          <cell r="T9">
            <v>0</v>
          </cell>
          <cell r="U9">
            <v>0</v>
          </cell>
          <cell r="V9">
            <v>0</v>
          </cell>
          <cell r="W9">
            <v>0</v>
          </cell>
          <cell r="X9">
            <v>0</v>
          </cell>
          <cell r="Y9">
            <v>0</v>
          </cell>
          <cell r="Z9">
            <v>0</v>
          </cell>
          <cell r="AA9">
            <v>0</v>
          </cell>
          <cell r="AB9">
            <v>0</v>
          </cell>
          <cell r="AC9">
            <v>0</v>
          </cell>
        </row>
        <row r="10">
          <cell r="A10" t="str">
            <v>Availability - Illness</v>
          </cell>
          <cell r="B10" t="str">
            <v>H</v>
          </cell>
          <cell r="C10">
            <v>0.95599999999999996</v>
          </cell>
          <cell r="D10">
            <v>0.97299999999999998</v>
          </cell>
          <cell r="E10" t="str">
            <v>ê</v>
          </cell>
          <cell r="F10">
            <v>0.95799999999999996</v>
          </cell>
          <cell r="G10">
            <v>0.94299999999999995</v>
          </cell>
          <cell r="H10">
            <v>0.97399999999999998</v>
          </cell>
          <cell r="I10">
            <v>0.94799999999999995</v>
          </cell>
          <cell r="J10">
            <v>0.98099999999999998</v>
          </cell>
          <cell r="K10">
            <v>0.97199999999999998</v>
          </cell>
          <cell r="L10">
            <v>0.96899999999999997</v>
          </cell>
          <cell r="M10">
            <v>0.94099999999999995</v>
          </cell>
          <cell r="P10">
            <v>0.94899999999999995</v>
          </cell>
          <cell r="Q10">
            <v>0.97299999999999998</v>
          </cell>
          <cell r="R10" t="str">
            <v>-</v>
          </cell>
          <cell r="S10">
            <v>0.95499999999999996</v>
          </cell>
          <cell r="T10">
            <v>0.94399999999999995</v>
          </cell>
          <cell r="U10">
            <v>0.96899999999999997</v>
          </cell>
          <cell r="V10">
            <v>0.93600000000000005</v>
          </cell>
          <cell r="W10">
            <v>0.98599999999999999</v>
          </cell>
          <cell r="X10">
            <v>0.97399999999999998</v>
          </cell>
          <cell r="Y10">
            <v>0.99299999999999999</v>
          </cell>
          <cell r="Z10">
            <v>0.93799999999999994</v>
          </cell>
          <cell r="AA10">
            <v>0</v>
          </cell>
          <cell r="AB10">
            <v>0</v>
          </cell>
          <cell r="AC10">
            <v>0</v>
          </cell>
        </row>
        <row r="11">
          <cell r="A11" t="str">
            <v>Staffing Levels - Permanent</v>
          </cell>
          <cell r="B11" t="str">
            <v>L</v>
          </cell>
          <cell r="C11">
            <v>1512</v>
          </cell>
          <cell r="D11">
            <v>1459</v>
          </cell>
          <cell r="E11" t="str">
            <v>é</v>
          </cell>
          <cell r="F11">
            <v>1445</v>
          </cell>
          <cell r="G11">
            <v>409</v>
          </cell>
          <cell r="H11">
            <v>504</v>
          </cell>
          <cell r="I11">
            <v>371</v>
          </cell>
          <cell r="J11">
            <v>78</v>
          </cell>
          <cell r="K11">
            <v>58</v>
          </cell>
          <cell r="L11">
            <v>26</v>
          </cell>
          <cell r="M11">
            <v>10</v>
          </cell>
          <cell r="P11">
            <v>1512</v>
          </cell>
          <cell r="Q11">
            <v>1459</v>
          </cell>
          <cell r="R11" t="str">
            <v>+</v>
          </cell>
          <cell r="S11">
            <v>1456</v>
          </cell>
          <cell r="T11">
            <v>409</v>
          </cell>
          <cell r="U11">
            <v>504</v>
          </cell>
          <cell r="V11">
            <v>371</v>
          </cell>
          <cell r="W11">
            <v>78</v>
          </cell>
          <cell r="X11">
            <v>58</v>
          </cell>
          <cell r="Y11">
            <v>26</v>
          </cell>
          <cell r="Z11">
            <v>10</v>
          </cell>
          <cell r="AA11">
            <v>0.99199999999999999</v>
          </cell>
          <cell r="AB11">
            <v>1</v>
          </cell>
          <cell r="AC11">
            <v>0.96499999999999997</v>
          </cell>
        </row>
        <row r="12">
          <cell r="A12" t="str">
            <v>Overtime</v>
          </cell>
          <cell r="B12" t="str">
            <v>L</v>
          </cell>
          <cell r="C12">
            <v>0.11899999999999999</v>
          </cell>
          <cell r="D12">
            <v>0.04</v>
          </cell>
          <cell r="E12" t="str">
            <v>ê</v>
          </cell>
          <cell r="F12">
            <v>6.2E-2</v>
          </cell>
          <cell r="G12">
            <v>0.111</v>
          </cell>
          <cell r="H12">
            <v>4.5999999999999999E-2</v>
          </cell>
          <cell r="I12">
            <v>4.2000000000000003E-2</v>
          </cell>
          <cell r="J12">
            <v>3.5999999999999997E-2</v>
          </cell>
          <cell r="K12">
            <v>3.1E-2</v>
          </cell>
          <cell r="L12">
            <v>1.9E-2</v>
          </cell>
          <cell r="M12">
            <v>0</v>
          </cell>
          <cell r="P12">
            <v>9.2999999999999999E-2</v>
          </cell>
          <cell r="Q12">
            <v>0.04</v>
          </cell>
          <cell r="R12" t="str">
            <v>+</v>
          </cell>
          <cell r="S12">
            <v>3.4000000000000002E-2</v>
          </cell>
          <cell r="T12">
            <v>7.0000000000000007E-2</v>
          </cell>
          <cell r="U12">
            <v>8.0000000000000002E-3</v>
          </cell>
          <cell r="V12">
            <v>3.2000000000000001E-2</v>
          </cell>
          <cell r="W12">
            <v>2.1000000000000001E-2</v>
          </cell>
          <cell r="X12">
            <v>4.2000000000000003E-2</v>
          </cell>
          <cell r="Y12">
            <v>1.2E-2</v>
          </cell>
          <cell r="Z12">
            <v>0</v>
          </cell>
          <cell r="AA12">
            <v>31</v>
          </cell>
          <cell r="AB12">
            <v>11</v>
          </cell>
          <cell r="AC12">
            <v>33</v>
          </cell>
        </row>
        <row r="13">
          <cell r="A13" t="str">
            <v>Employee Development - MAST</v>
          </cell>
          <cell r="B13" t="str">
            <v>H</v>
          </cell>
          <cell r="C13">
            <v>0.98399999999999999</v>
          </cell>
          <cell r="D13">
            <v>0.97</v>
          </cell>
          <cell r="E13" t="str">
            <v>é</v>
          </cell>
          <cell r="F13">
            <v>0.99</v>
          </cell>
          <cell r="G13">
            <v>0.98399999999999999</v>
          </cell>
          <cell r="H13">
            <v>1</v>
          </cell>
          <cell r="I13">
            <v>0.996</v>
          </cell>
          <cell r="J13">
            <v>1</v>
          </cell>
          <cell r="K13">
            <v>0.96799999999999997</v>
          </cell>
          <cell r="L13">
            <v>1</v>
          </cell>
          <cell r="M13">
            <v>1</v>
          </cell>
          <cell r="P13">
            <v>0.98399999999999999</v>
          </cell>
          <cell r="Q13">
            <v>0.97</v>
          </cell>
          <cell r="R13" t="str">
            <v>+</v>
          </cell>
          <cell r="S13">
            <v>0.99</v>
          </cell>
          <cell r="T13">
            <v>0.98399999999999999</v>
          </cell>
          <cell r="U13">
            <v>1</v>
          </cell>
          <cell r="V13">
            <v>0.996</v>
          </cell>
          <cell r="W13">
            <v>1</v>
          </cell>
          <cell r="X13">
            <v>0.96799999999999997</v>
          </cell>
          <cell r="Y13">
            <v>1</v>
          </cell>
          <cell r="Z13">
            <v>1</v>
          </cell>
          <cell r="AA13">
            <v>3.4000000000000002E-2</v>
          </cell>
          <cell r="AB13">
            <v>0</v>
          </cell>
          <cell r="AC13">
            <v>1.4999999999999999E-2</v>
          </cell>
        </row>
        <row r="14">
          <cell r="A14" t="str">
            <v>Corporate Culture for Ethics and Compliance</v>
          </cell>
          <cell r="B14" t="str">
            <v>H</v>
          </cell>
          <cell r="C14" t="str">
            <v>NA</v>
          </cell>
          <cell r="D14">
            <v>5.57</v>
          </cell>
          <cell r="E14" t="str">
            <v>ê</v>
          </cell>
          <cell r="F14">
            <v>5.09</v>
          </cell>
          <cell r="P14" t="str">
            <v>Employee Technical Training - BU</v>
          </cell>
          <cell r="Q14" t="str">
            <v>H</v>
          </cell>
          <cell r="R14" t="str">
            <v>Quarterly</v>
          </cell>
          <cell r="S14">
            <v>0.66659999999999997</v>
          </cell>
          <cell r="U14" t="str">
            <v>Quarterly</v>
          </cell>
        </row>
        <row r="15">
          <cell r="P15" t="str">
            <v>Employee Development - MAST</v>
          </cell>
          <cell r="Q15" t="str">
            <v>H</v>
          </cell>
          <cell r="R15">
            <v>0.17299999999999999</v>
          </cell>
          <cell r="S15">
            <v>0.85</v>
          </cell>
          <cell r="T15" t="str">
            <v>-</v>
          </cell>
          <cell r="U15">
            <v>0.78</v>
          </cell>
          <cell r="V15">
            <v>0.75</v>
          </cell>
          <cell r="W15">
            <v>0.96</v>
          </cell>
          <cell r="X15">
            <v>0.65</v>
          </cell>
          <cell r="Y15">
            <v>0.72</v>
          </cell>
          <cell r="Z15">
            <v>0.79</v>
          </cell>
          <cell r="AA15">
            <v>0.92</v>
          </cell>
          <cell r="AB15">
            <v>0.82</v>
          </cell>
          <cell r="AC15">
            <v>0.69</v>
          </cell>
        </row>
        <row r="16">
          <cell r="A16" t="str">
            <v>SAFE (reliable)</v>
          </cell>
          <cell r="B16" t="str">
            <v>L/H</v>
          </cell>
          <cell r="C16" t="str">
            <v>Dec 09 YTD</v>
          </cell>
          <cell r="D16" t="str">
            <v>2010 Target</v>
          </cell>
          <cell r="E16" t="str">
            <v>YE Status</v>
          </cell>
          <cell r="F16" t="str">
            <v>Cust Ops</v>
          </cell>
          <cell r="G16" t="str">
            <v>Cust Cont</v>
          </cell>
          <cell r="H16" t="str">
            <v>Dist Ops</v>
          </cell>
          <cell r="I16" t="str">
            <v>Billing &amp; Rev Ops</v>
          </cell>
          <cell r="J16" t="str">
            <v>iPower &amp; AMR</v>
          </cell>
          <cell r="K16" t="str">
            <v>LCS &amp; AD</v>
          </cell>
          <cell r="L16" t="str">
            <v>UM</v>
          </cell>
          <cell r="M16" t="str">
            <v>VP &amp; Support</v>
          </cell>
          <cell r="P16">
            <v>40148</v>
          </cell>
          <cell r="Q16" t="str">
            <v>2010 Target</v>
          </cell>
          <cell r="R16" t="str">
            <v>Report Period Status</v>
          </cell>
          <cell r="S16" t="str">
            <v>Cust Ops</v>
          </cell>
          <cell r="T16" t="str">
            <v>Cust Cont</v>
          </cell>
          <cell r="U16" t="str">
            <v>Dist Ops</v>
          </cell>
          <cell r="V16" t="str">
            <v>Billing &amp; Rev Ops</v>
          </cell>
          <cell r="W16" t="str">
            <v>iPower &amp; AMR</v>
          </cell>
          <cell r="X16" t="str">
            <v>LCS &amp; AD</v>
          </cell>
          <cell r="Y16" t="str">
            <v>UM</v>
          </cell>
          <cell r="Z16" t="str">
            <v>VP &amp; Support</v>
          </cell>
        </row>
        <row r="17">
          <cell r="A17" t="str">
            <v>Percent of Actual Meters Read 1</v>
          </cell>
          <cell r="B17" t="str">
            <v>H</v>
          </cell>
          <cell r="C17">
            <v>0.88500000000000001</v>
          </cell>
          <cell r="D17">
            <v>0.90300000000000002</v>
          </cell>
          <cell r="E17" t="str">
            <v>ê</v>
          </cell>
          <cell r="F17">
            <v>0.88600000000000001</v>
          </cell>
          <cell r="H17">
            <v>0.88600000000000001</v>
          </cell>
          <cell r="P17">
            <v>0.86199999999999999</v>
          </cell>
          <cell r="Q17">
            <v>0.90300000000000002</v>
          </cell>
          <cell r="R17" t="str">
            <v>-</v>
          </cell>
          <cell r="S17">
            <v>0.85399999999999998</v>
          </cell>
          <cell r="U17">
            <v>0.85399999999999998</v>
          </cell>
        </row>
        <row r="18">
          <cell r="A18" t="str">
            <v>Gen'l Inquiry Service Level (30 sec.)</v>
          </cell>
          <cell r="B18" t="str">
            <v>H</v>
          </cell>
          <cell r="C18">
            <v>0.61699999999999999</v>
          </cell>
          <cell r="D18">
            <v>0.82199999999999995</v>
          </cell>
          <cell r="E18" t="str">
            <v>ê</v>
          </cell>
          <cell r="F18">
            <v>0.67200000000000004</v>
          </cell>
          <cell r="G18">
            <v>0.67200000000000004</v>
          </cell>
          <cell r="P18">
            <v>0.64100000000000001</v>
          </cell>
          <cell r="Q18">
            <v>0.82199999999999995</v>
          </cell>
          <cell r="R18" t="str">
            <v>-</v>
          </cell>
          <cell r="S18">
            <v>0.745</v>
          </cell>
          <cell r="T18">
            <v>0.745</v>
          </cell>
        </row>
        <row r="19">
          <cell r="A19" t="str">
            <v>General Inquiry Abandonment Rate</v>
          </cell>
          <cell r="B19" t="str">
            <v>L</v>
          </cell>
          <cell r="C19">
            <v>0.15</v>
          </cell>
          <cell r="D19">
            <v>0.05</v>
          </cell>
          <cell r="E19" t="str">
            <v>ê</v>
          </cell>
          <cell r="F19">
            <v>5.3999999999999999E-2</v>
          </cell>
          <cell r="G19">
            <v>5.3999999999999999E-2</v>
          </cell>
          <cell r="P19">
            <v>5.0999999999999997E-2</v>
          </cell>
          <cell r="Q19">
            <v>0.05</v>
          </cell>
          <cell r="R19" t="str">
            <v>+</v>
          </cell>
          <cell r="S19">
            <v>3.3000000000000002E-2</v>
          </cell>
          <cell r="T19">
            <v>3.3000000000000002E-2</v>
          </cell>
          <cell r="U19" t="str">
            <v>Cust Ops</v>
          </cell>
          <cell r="V19" t="str">
            <v>Cust Cont</v>
          </cell>
          <cell r="W19" t="str">
            <v>Dist Ops</v>
          </cell>
          <cell r="X19" t="str">
            <v>Billing &amp; Rev Ops</v>
          </cell>
          <cell r="Y19" t="str">
            <v>Com Rel &amp; CSC</v>
          </cell>
          <cell r="Z19" t="str">
            <v>LCS &amp; AD</v>
          </cell>
          <cell r="AA19" t="str">
            <v>UM</v>
          </cell>
          <cell r="AB19" t="str">
            <v>RPA</v>
          </cell>
          <cell r="AC19" t="str">
            <v>VP &amp; Support</v>
          </cell>
        </row>
        <row r="20">
          <cell r="A20" t="str">
            <v>First Contact Resolution</v>
          </cell>
          <cell r="B20" t="str">
            <v>H</v>
          </cell>
          <cell r="C20" t="str">
            <v>NA</v>
          </cell>
          <cell r="D20" t="str">
            <v>Tracking</v>
          </cell>
          <cell r="E20" t="str">
            <v>ê</v>
          </cell>
          <cell r="F20">
            <v>0.88400000000000001</v>
          </cell>
          <cell r="H20">
            <v>0.88400000000000001</v>
          </cell>
          <cell r="P20" t="str">
            <v>NA</v>
          </cell>
          <cell r="Q20" t="str">
            <v>Tracking</v>
          </cell>
          <cell r="R20">
            <v>0.90300000000000002</v>
          </cell>
          <cell r="S20">
            <v>0.90100000000000002</v>
          </cell>
          <cell r="T20" t="str">
            <v>-</v>
          </cell>
          <cell r="U20">
            <v>0.89500000000000002</v>
          </cell>
          <cell r="W20">
            <v>0.89500000000000002</v>
          </cell>
        </row>
        <row r="21">
          <cell r="A21" t="str">
            <v>Average Daily Open Billing Exception Cases</v>
          </cell>
          <cell r="B21" t="str">
            <v>L</v>
          </cell>
          <cell r="C21">
            <v>52965</v>
          </cell>
          <cell r="D21">
            <v>18000</v>
          </cell>
          <cell r="E21" t="str">
            <v>é</v>
          </cell>
          <cell r="F21">
            <v>12185</v>
          </cell>
          <cell r="I21">
            <v>12185</v>
          </cell>
          <cell r="P21">
            <v>23241</v>
          </cell>
          <cell r="Q21">
            <v>18000</v>
          </cell>
          <cell r="R21" t="str">
            <v>+</v>
          </cell>
          <cell r="S21">
            <v>12094</v>
          </cell>
          <cell r="V21">
            <v>12094</v>
          </cell>
        </row>
        <row r="22">
          <cell r="A22" t="str">
            <v>Payments Deposited within 1 Bus Day (%)</v>
          </cell>
          <cell r="B22" t="str">
            <v>H</v>
          </cell>
          <cell r="C22">
            <v>0.99</v>
          </cell>
          <cell r="D22">
            <v>0.99099999999999999</v>
          </cell>
          <cell r="E22" t="str">
            <v>é</v>
          </cell>
          <cell r="F22">
            <v>0.99680999999999997</v>
          </cell>
          <cell r="H22">
            <v>3.9</v>
          </cell>
          <cell r="I22">
            <v>0.99680999999999997</v>
          </cell>
          <cell r="P22">
            <v>1</v>
          </cell>
          <cell r="Q22">
            <v>0.99099999999999999</v>
          </cell>
          <cell r="R22" t="str">
            <v>+</v>
          </cell>
          <cell r="S22">
            <v>0.99490000000000001</v>
          </cell>
          <cell r="T22" t="str">
            <v>-</v>
          </cell>
          <cell r="U22">
            <v>5.3</v>
          </cell>
          <cell r="V22">
            <v>0.99490000000000001</v>
          </cell>
          <cell r="W22">
            <v>5.3</v>
          </cell>
        </row>
        <row r="23">
          <cell r="A23" t="str">
            <v>BPU Inquiry Rate-Collection</v>
          </cell>
          <cell r="B23" t="str">
            <v>L</v>
          </cell>
          <cell r="C23">
            <v>1.78</v>
          </cell>
          <cell r="D23">
            <v>1.32</v>
          </cell>
          <cell r="E23" t="str">
            <v>é</v>
          </cell>
          <cell r="F23">
            <v>1.32</v>
          </cell>
          <cell r="G23">
            <v>0.61399999999999999</v>
          </cell>
          <cell r="P23">
            <v>1.37</v>
          </cell>
          <cell r="Q23">
            <v>1.6009932310984596</v>
          </cell>
          <cell r="R23" t="str">
            <v>+</v>
          </cell>
          <cell r="S23">
            <v>0.75</v>
          </cell>
          <cell r="T23" t="str">
            <v>+</v>
          </cell>
          <cell r="U23">
            <v>0.69499999999999995</v>
          </cell>
          <cell r="V23">
            <v>0.69499999999999995</v>
          </cell>
        </row>
        <row r="24">
          <cell r="A24" t="str">
            <v>BPU Inquiries - Non-Collection</v>
          </cell>
          <cell r="B24" t="str">
            <v>L</v>
          </cell>
          <cell r="C24">
            <v>2413</v>
          </cell>
          <cell r="D24">
            <v>1055</v>
          </cell>
          <cell r="E24" t="str">
            <v>ê</v>
          </cell>
          <cell r="F24">
            <v>1195</v>
          </cell>
          <cell r="G24">
            <v>314</v>
          </cell>
          <cell r="H24">
            <v>169</v>
          </cell>
          <cell r="I24">
            <v>695</v>
          </cell>
          <cell r="K24">
            <v>17</v>
          </cell>
          <cell r="P24">
            <v>220</v>
          </cell>
          <cell r="Q24">
            <v>53.226521220385209</v>
          </cell>
          <cell r="R24" t="str">
            <v>-</v>
          </cell>
          <cell r="S24">
            <v>87</v>
          </cell>
          <cell r="T24">
            <v>14</v>
          </cell>
          <cell r="U24">
            <v>8</v>
          </cell>
          <cell r="V24">
            <v>64</v>
          </cell>
          <cell r="X24">
            <v>1</v>
          </cell>
        </row>
        <row r="25">
          <cell r="A25" t="str">
            <v>Perception Survey (Residential)</v>
          </cell>
          <cell r="B25" t="str">
            <v>H</v>
          </cell>
          <cell r="C25">
            <v>74</v>
          </cell>
          <cell r="D25">
            <v>76</v>
          </cell>
          <cell r="E25" t="str">
            <v>é</v>
          </cell>
          <cell r="F25">
            <v>76</v>
          </cell>
          <cell r="P25">
            <v>73</v>
          </cell>
          <cell r="Q25">
            <v>76</v>
          </cell>
          <cell r="R25" t="str">
            <v>o</v>
          </cell>
          <cell r="S25">
            <v>76</v>
          </cell>
        </row>
        <row r="26">
          <cell r="A26" t="str">
            <v>Perception Survey (Small Business)</v>
          </cell>
          <cell r="B26" t="str">
            <v>H</v>
          </cell>
          <cell r="C26">
            <v>74</v>
          </cell>
          <cell r="D26">
            <v>76</v>
          </cell>
          <cell r="E26" t="str">
            <v>é</v>
          </cell>
          <cell r="F26">
            <v>76</v>
          </cell>
          <cell r="P26">
            <v>74</v>
          </cell>
          <cell r="Q26">
            <v>76</v>
          </cell>
          <cell r="R26" t="str">
            <v>+</v>
          </cell>
          <cell r="S26">
            <v>79</v>
          </cell>
        </row>
        <row r="27">
          <cell r="A27" t="str">
            <v>Perception Survey (Large Business)</v>
          </cell>
          <cell r="B27" t="str">
            <v>H</v>
          </cell>
          <cell r="C27">
            <v>76</v>
          </cell>
          <cell r="D27">
            <v>77</v>
          </cell>
          <cell r="E27" t="str">
            <v>ê</v>
          </cell>
          <cell r="F27">
            <v>75</v>
          </cell>
          <cell r="P27">
            <v>74</v>
          </cell>
          <cell r="Q27">
            <v>77</v>
          </cell>
          <cell r="R27" t="str">
            <v>-</v>
          </cell>
          <cell r="S27">
            <v>73</v>
          </cell>
        </row>
        <row r="28">
          <cell r="A28" t="str">
            <v>Moment of Truth Survey</v>
          </cell>
          <cell r="B28" t="str">
            <v>H</v>
          </cell>
          <cell r="C28">
            <v>8.1999999999999993</v>
          </cell>
          <cell r="D28">
            <v>8.6999999999999993</v>
          </cell>
          <cell r="E28" t="str">
            <v>ê</v>
          </cell>
          <cell r="F28">
            <v>8.1999999999999993</v>
          </cell>
          <cell r="G28">
            <v>8.3000000000000007</v>
          </cell>
          <cell r="I28">
            <v>8</v>
          </cell>
          <cell r="P28">
            <v>8.3000000000000007</v>
          </cell>
          <cell r="Q28">
            <v>8.6999999999999993</v>
          </cell>
          <cell r="R28" t="str">
            <v>-</v>
          </cell>
          <cell r="S28">
            <v>8</v>
          </cell>
          <cell r="T28">
            <v>8.1999999999999993</v>
          </cell>
          <cell r="U28">
            <v>1</v>
          </cell>
          <cell r="V28">
            <v>7.4</v>
          </cell>
          <cell r="X28">
            <v>1</v>
          </cell>
        </row>
        <row r="29">
          <cell r="A29" t="str">
            <v>1   All historical MR data has been updated to reflect data obtained from the P+4 Meter Reading System.</v>
          </cell>
          <cell r="B29" t="str">
            <v>H</v>
          </cell>
          <cell r="C29">
            <v>104290</v>
          </cell>
          <cell r="D29">
            <v>126994</v>
          </cell>
          <cell r="E29" t="str">
            <v>ê</v>
          </cell>
          <cell r="F29">
            <v>101261</v>
          </cell>
          <cell r="L29">
            <v>101261</v>
          </cell>
          <cell r="P29" t="str">
            <v>Participation in Auto-Pay</v>
          </cell>
          <cell r="Q29" t="str">
            <v>H</v>
          </cell>
          <cell r="R29">
            <v>104290</v>
          </cell>
          <cell r="S29">
            <v>126444.27272727279</v>
          </cell>
          <cell r="T29" t="str">
            <v>-</v>
          </cell>
          <cell r="U29">
            <v>101261</v>
          </cell>
          <cell r="AA29">
            <v>101261</v>
          </cell>
        </row>
        <row r="30">
          <cell r="A30" t="str">
            <v>ECONOMIC</v>
          </cell>
          <cell r="B30" t="str">
            <v>L/H</v>
          </cell>
          <cell r="C30" t="str">
            <v>Dec 09 YTD</v>
          </cell>
          <cell r="D30" t="str">
            <v>2010 Target</v>
          </cell>
          <cell r="E30" t="str">
            <v>YE Status</v>
          </cell>
          <cell r="F30" t="str">
            <v>Cust Ops</v>
          </cell>
          <cell r="G30" t="str">
            <v>Cust Cont</v>
          </cell>
          <cell r="H30" t="str">
            <v>Dist Ops</v>
          </cell>
          <cell r="I30" t="str">
            <v>Billing &amp; Rev Ops</v>
          </cell>
          <cell r="J30" t="str">
            <v>iPower &amp; AMR</v>
          </cell>
          <cell r="K30" t="str">
            <v>LCS &amp; AD</v>
          </cell>
          <cell r="L30" t="str">
            <v>UM</v>
          </cell>
          <cell r="M30" t="str">
            <v>VP &amp; Support</v>
          </cell>
          <cell r="P30">
            <v>40148</v>
          </cell>
          <cell r="Q30" t="str">
            <v>2010 Target</v>
          </cell>
          <cell r="R30" t="str">
            <v>Report Period Status</v>
          </cell>
          <cell r="S30" t="str">
            <v>Cust Ops</v>
          </cell>
          <cell r="T30" t="str">
            <v>Cust Cont</v>
          </cell>
          <cell r="U30" t="str">
            <v>Dist Ops</v>
          </cell>
          <cell r="V30" t="str">
            <v>Billing &amp; Rev Ops</v>
          </cell>
          <cell r="W30" t="str">
            <v>iPower &amp; AMR</v>
          </cell>
          <cell r="X30" t="str">
            <v>LCS &amp; AD</v>
          </cell>
          <cell r="Y30" t="str">
            <v>UM</v>
          </cell>
          <cell r="Z30" t="str">
            <v>VP &amp; Support</v>
          </cell>
        </row>
        <row r="31">
          <cell r="A31" t="str">
            <v>CapEx ($M)</v>
          </cell>
          <cell r="B31" t="str">
            <v>L</v>
          </cell>
          <cell r="C31">
            <v>33.101489000000001</v>
          </cell>
          <cell r="D31">
            <v>21.4</v>
          </cell>
          <cell r="E31" t="str">
            <v>é</v>
          </cell>
          <cell r="F31">
            <v>13</v>
          </cell>
          <cell r="M31">
            <v>13</v>
          </cell>
          <cell r="P31">
            <v>-4.1258489999999997</v>
          </cell>
          <cell r="Q31">
            <v>1.7696689999999999</v>
          </cell>
          <cell r="R31" t="str">
            <v>-</v>
          </cell>
          <cell r="S31">
            <v>3.34</v>
          </cell>
          <cell r="T31" t="str">
            <v>+</v>
          </cell>
          <cell r="U31">
            <v>0.99</v>
          </cell>
          <cell r="Z31">
            <v>3.34</v>
          </cell>
        </row>
        <row r="32">
          <cell r="A32" t="str">
            <v>Controllable O&amp;M ($M)</v>
          </cell>
          <cell r="B32" t="str">
            <v>L</v>
          </cell>
          <cell r="C32">
            <v>217</v>
          </cell>
          <cell r="D32">
            <v>228.5</v>
          </cell>
          <cell r="E32" t="str">
            <v>ê</v>
          </cell>
          <cell r="F32">
            <v>231.7</v>
          </cell>
          <cell r="G32">
            <v>37.762</v>
          </cell>
          <cell r="H32">
            <v>35.963999999999999</v>
          </cell>
          <cell r="I32">
            <v>47.612000000000002</v>
          </cell>
          <cell r="J32">
            <v>16.123999999999999</v>
          </cell>
          <cell r="K32">
            <v>6.18</v>
          </cell>
          <cell r="L32">
            <v>10.108000000000001</v>
          </cell>
          <cell r="M32">
            <v>77.900000000000006</v>
          </cell>
          <cell r="P32">
            <v>15.2</v>
          </cell>
          <cell r="Q32">
            <v>18.97828788</v>
          </cell>
          <cell r="R32" t="str">
            <v>+</v>
          </cell>
          <cell r="S32">
            <v>17.100000000000001</v>
          </cell>
          <cell r="T32">
            <v>3.1560000000000001</v>
          </cell>
          <cell r="U32">
            <v>3.306</v>
          </cell>
          <cell r="V32">
            <v>4.0810000000000004</v>
          </cell>
          <cell r="W32">
            <v>0.36799999999999999</v>
          </cell>
          <cell r="X32">
            <v>0.53500000000000003</v>
          </cell>
          <cell r="Y32">
            <v>0.873</v>
          </cell>
          <cell r="Z32">
            <v>4.8</v>
          </cell>
        </row>
        <row r="33">
          <cell r="A33" t="str">
            <v>Net Write-Off ($) /$100 billed</v>
          </cell>
          <cell r="B33" t="str">
            <v>L</v>
          </cell>
          <cell r="C33">
            <v>1.24</v>
          </cell>
          <cell r="D33">
            <v>1</v>
          </cell>
          <cell r="E33" t="str">
            <v>ê</v>
          </cell>
          <cell r="F33">
            <v>1.46</v>
          </cell>
          <cell r="I33">
            <v>1.46</v>
          </cell>
          <cell r="P33">
            <v>2.2999999999999998</v>
          </cell>
          <cell r="Q33">
            <v>1</v>
          </cell>
          <cell r="R33" t="str">
            <v>+</v>
          </cell>
          <cell r="S33">
            <v>0.88</v>
          </cell>
          <cell r="T33" t="str">
            <v>-</v>
          </cell>
          <cell r="U33">
            <v>73</v>
          </cell>
          <cell r="V33">
            <v>0.88</v>
          </cell>
        </row>
        <row r="34">
          <cell r="A34" t="str">
            <v>Days Sales Outstanding</v>
          </cell>
          <cell r="B34" t="str">
            <v>L</v>
          </cell>
          <cell r="C34">
            <v>37.1</v>
          </cell>
          <cell r="D34">
            <v>34.700000000000003</v>
          </cell>
          <cell r="E34" t="str">
            <v>ê</v>
          </cell>
          <cell r="F34">
            <v>40.94</v>
          </cell>
          <cell r="I34">
            <v>40.94</v>
          </cell>
          <cell r="P34">
            <v>35.6</v>
          </cell>
          <cell r="Q34">
            <v>34.700000000000003</v>
          </cell>
          <cell r="R34" t="str">
            <v>-</v>
          </cell>
          <cell r="S34">
            <v>36.46</v>
          </cell>
          <cell r="T34" t="str">
            <v>-</v>
          </cell>
          <cell r="U34">
            <v>74</v>
          </cell>
          <cell r="V34">
            <v>36.46</v>
          </cell>
        </row>
        <row r="35">
          <cell r="A35" t="str">
            <v>Aged Receivables &gt;90 Days (%) 2</v>
          </cell>
          <cell r="B35" t="str">
            <v>L</v>
          </cell>
          <cell r="C35">
            <v>0.2</v>
          </cell>
          <cell r="D35">
            <v>0.16500000000000001</v>
          </cell>
          <cell r="E35" t="str">
            <v>ê</v>
          </cell>
          <cell r="F35">
            <v>0.20380000000000001</v>
          </cell>
          <cell r="G35">
            <v>8.1</v>
          </cell>
          <cell r="I35">
            <v>0.20380000000000001</v>
          </cell>
          <cell r="J35">
            <v>8.5</v>
          </cell>
          <cell r="P35">
            <v>0.219</v>
          </cell>
          <cell r="Q35">
            <v>0.16500000000000001</v>
          </cell>
          <cell r="R35" t="str">
            <v>+</v>
          </cell>
          <cell r="S35">
            <v>0.2248</v>
          </cell>
          <cell r="U35" t="str">
            <v>Quarterly</v>
          </cell>
          <cell r="V35">
            <v>0.2248</v>
          </cell>
          <cell r="Y35" t="str">
            <v>Qtrly</v>
          </cell>
        </row>
        <row r="36">
          <cell r="A36" t="str">
            <v>LCS Outdoor Lighting Sales ($M)</v>
          </cell>
          <cell r="B36" t="str">
            <v>H</v>
          </cell>
          <cell r="C36">
            <v>4.1501619999999999</v>
          </cell>
          <cell r="D36">
            <v>4.2</v>
          </cell>
          <cell r="E36" t="str">
            <v>é</v>
          </cell>
          <cell r="F36">
            <v>6.4329520000000002</v>
          </cell>
          <cell r="G36">
            <v>8.1</v>
          </cell>
          <cell r="K36">
            <v>6.4329520000000002</v>
          </cell>
          <cell r="P36">
            <v>2.2260049999999998</v>
          </cell>
          <cell r="Q36">
            <v>0.26</v>
          </cell>
          <cell r="R36" t="str">
            <v>-</v>
          </cell>
          <cell r="S36">
            <v>0.20849899999999999</v>
          </cell>
          <cell r="U36" t="str">
            <v>Quarterly</v>
          </cell>
          <cell r="V36" t="str">
            <v>Qtrly</v>
          </cell>
          <cell r="X36">
            <v>0.20849899999999999</v>
          </cell>
          <cell r="Y36" t="str">
            <v>Qtrly</v>
          </cell>
        </row>
        <row r="37">
          <cell r="A37" t="str">
            <v>Total AS Revenue ($M)</v>
          </cell>
          <cell r="B37" t="str">
            <v>H</v>
          </cell>
          <cell r="C37">
            <v>135.34603799999999</v>
          </cell>
          <cell r="D37">
            <v>134.5</v>
          </cell>
          <cell r="E37" t="str">
            <v>é</v>
          </cell>
          <cell r="F37">
            <v>141.6</v>
          </cell>
          <cell r="L37">
            <v>141.6</v>
          </cell>
          <cell r="M37">
            <v>8.9</v>
          </cell>
          <cell r="P37">
            <v>13.674338000000001</v>
          </cell>
          <cell r="Q37">
            <v>11.41328223650692</v>
          </cell>
          <cell r="R37" t="str">
            <v>+</v>
          </cell>
          <cell r="S37">
            <v>12.8</v>
          </cell>
          <cell r="U37" t="str">
            <v>SemiAnnul</v>
          </cell>
          <cell r="Y37">
            <v>12.8</v>
          </cell>
          <cell r="AB37" t="str">
            <v>SemiAn</v>
          </cell>
        </row>
        <row r="38">
          <cell r="A38" t="str">
            <v>Payment Assistance-Dollars ($M)</v>
          </cell>
          <cell r="B38" t="str">
            <v>H</v>
          </cell>
          <cell r="C38">
            <v>205.06674799999999</v>
          </cell>
          <cell r="D38">
            <v>181.8</v>
          </cell>
          <cell r="E38" t="str">
            <v>é</v>
          </cell>
          <cell r="F38">
            <v>213.4</v>
          </cell>
          <cell r="J38">
            <v>7.4</v>
          </cell>
          <cell r="M38">
            <v>7.9</v>
          </cell>
          <cell r="P38">
            <v>10.115572999999999</v>
          </cell>
          <cell r="Q38">
            <v>8.9678665572538225</v>
          </cell>
          <cell r="R38" t="str">
            <v>+</v>
          </cell>
          <cell r="S38">
            <v>11.3</v>
          </cell>
          <cell r="T38" t="str">
            <v>+</v>
          </cell>
          <cell r="U38">
            <v>8.1999999999999993</v>
          </cell>
          <cell r="Y38">
            <v>8.1999999999999993</v>
          </cell>
          <cell r="AB38">
            <v>8.3000000000000007</v>
          </cell>
        </row>
        <row r="39">
          <cell r="A39" t="str">
            <v>2   YTD Based on a rolling 12 months.</v>
          </cell>
          <cell r="B39" t="str">
            <v>L</v>
          </cell>
          <cell r="C39">
            <v>0</v>
          </cell>
          <cell r="D39">
            <v>2</v>
          </cell>
          <cell r="E39" t="str">
            <v>ê</v>
          </cell>
          <cell r="F39" t="str">
            <v xml:space="preserve"> </v>
          </cell>
          <cell r="J39">
            <v>5</v>
          </cell>
          <cell r="P39" t="str">
            <v>SOX Test Failure</v>
          </cell>
          <cell r="Q39" t="str">
            <v>L</v>
          </cell>
          <cell r="R39">
            <v>0</v>
          </cell>
          <cell r="S39">
            <v>0</v>
          </cell>
          <cell r="T39" t="str">
            <v>+</v>
          </cell>
          <cell r="U39">
            <v>0</v>
          </cell>
          <cell r="Y39">
            <v>0</v>
          </cell>
        </row>
        <row r="40">
          <cell r="A40" t="str">
            <v>1 Beginning April 2009, the data source for Percent Meters Read has changed.</v>
          </cell>
        </row>
        <row r="41">
          <cell r="A41" t="str">
            <v>GREEN (ENERGY)</v>
          </cell>
          <cell r="B41" t="str">
            <v>L/H</v>
          </cell>
          <cell r="C41" t="str">
            <v>Dec 09 YTD</v>
          </cell>
          <cell r="D41" t="str">
            <v>2010 Target</v>
          </cell>
          <cell r="E41" t="str">
            <v>YE Status</v>
          </cell>
          <cell r="F41" t="str">
            <v>Cust Ops</v>
          </cell>
          <cell r="G41" t="str">
            <v>Cust Cont</v>
          </cell>
          <cell r="H41" t="str">
            <v>Dist Ops</v>
          </cell>
          <cell r="I41" t="str">
            <v>Billing &amp; Rev Ops</v>
          </cell>
          <cell r="J41" t="str">
            <v>iPower &amp; AMR</v>
          </cell>
          <cell r="K41" t="str">
            <v>LCS &amp; AD</v>
          </cell>
          <cell r="L41" t="str">
            <v>UM</v>
          </cell>
          <cell r="M41" t="str">
            <v>VP &amp; Support</v>
          </cell>
          <cell r="P41">
            <v>40148</v>
          </cell>
          <cell r="Q41" t="str">
            <v>2010 Target</v>
          </cell>
          <cell r="R41" t="str">
            <v>Report Period Status</v>
          </cell>
          <cell r="S41" t="str">
            <v>Cust Ops</v>
          </cell>
          <cell r="T41" t="str">
            <v>Cust Cont</v>
          </cell>
          <cell r="U41" t="str">
            <v>Dist Ops</v>
          </cell>
          <cell r="V41" t="str">
            <v>Billing &amp; Rev Ops</v>
          </cell>
          <cell r="W41" t="str">
            <v>iPower &amp; AMR</v>
          </cell>
          <cell r="X41" t="str">
            <v>LCS &amp; AD</v>
          </cell>
          <cell r="Y41" t="str">
            <v>UM</v>
          </cell>
          <cell r="Z41" t="str">
            <v>VP &amp; Support</v>
          </cell>
        </row>
        <row r="42">
          <cell r="A42" t="str">
            <v>Web Transactions (%)</v>
          </cell>
          <cell r="B42" t="str">
            <v>H</v>
          </cell>
          <cell r="C42">
            <v>0.221</v>
          </cell>
          <cell r="D42">
            <v>0.22</v>
          </cell>
          <cell r="E42" t="str">
            <v>é</v>
          </cell>
          <cell r="F42">
            <v>0.27800000000000002</v>
          </cell>
          <cell r="G42">
            <v>0.27800000000000002</v>
          </cell>
          <cell r="P42">
            <v>0.27300000000000002</v>
          </cell>
          <cell r="Q42">
            <v>0.22</v>
          </cell>
          <cell r="R42" t="str">
            <v>+</v>
          </cell>
          <cell r="S42">
            <v>0.29199999999999998</v>
          </cell>
          <cell r="T42">
            <v>0.29199999999999998</v>
          </cell>
        </row>
        <row r="43">
          <cell r="A43" t="str">
            <v>Paperless Billing (%)</v>
          </cell>
          <cell r="B43" t="str">
            <v>H</v>
          </cell>
          <cell r="C43">
            <v>0.02</v>
          </cell>
          <cell r="D43">
            <v>0.08</v>
          </cell>
          <cell r="E43" t="str">
            <v>ê</v>
          </cell>
          <cell r="F43">
            <v>5.7000000000000002E-2</v>
          </cell>
          <cell r="I43">
            <v>5.7000000000000002E-2</v>
          </cell>
          <cell r="P43">
            <v>0.02</v>
          </cell>
          <cell r="Q43">
            <v>0.08</v>
          </cell>
          <cell r="R43" t="str">
            <v>-</v>
          </cell>
          <cell r="S43">
            <v>5.7000000000000002E-2</v>
          </cell>
          <cell r="T43" t="str">
            <v>Monthly / Quarterly Status</v>
          </cell>
          <cell r="U43" t="str">
            <v>Cust Ops</v>
          </cell>
          <cell r="V43">
            <v>5.7000000000000002E-2</v>
          </cell>
          <cell r="W43" t="str">
            <v>Dist Ops</v>
          </cell>
          <cell r="X43" t="str">
            <v>Billing &amp; Rev Ops</v>
          </cell>
          <cell r="Y43" t="str">
            <v>Com Rel &amp; CSC</v>
          </cell>
          <cell r="Z43" t="str">
            <v>LCS &amp; AD</v>
          </cell>
          <cell r="AA43" t="str">
            <v>UM</v>
          </cell>
          <cell r="AB43" t="str">
            <v>RPA</v>
          </cell>
          <cell r="AC43" t="str">
            <v>VP &amp; Support</v>
          </cell>
        </row>
        <row r="44">
          <cell r="A44" t="str">
            <v>Solar Loan Committed Investment ($M)</v>
          </cell>
          <cell r="B44" t="str">
            <v>H</v>
          </cell>
          <cell r="C44">
            <v>42.933844999999998</v>
          </cell>
          <cell r="D44">
            <v>54.3</v>
          </cell>
          <cell r="E44" t="str">
            <v>é</v>
          </cell>
          <cell r="F44">
            <v>70.7</v>
          </cell>
          <cell r="K44">
            <v>70.7</v>
          </cell>
          <cell r="P44">
            <v>22.087311</v>
          </cell>
          <cell r="Q44">
            <v>8.1</v>
          </cell>
          <cell r="R44" t="str">
            <v>+</v>
          </cell>
          <cell r="S44">
            <v>9.4</v>
          </cell>
          <cell r="T44" t="str">
            <v>+</v>
          </cell>
          <cell r="U44">
            <v>7.0000000000000007E-2</v>
          </cell>
          <cell r="X44">
            <v>9.4</v>
          </cell>
          <cell r="AC44">
            <v>7.0000000000000007E-2</v>
          </cell>
        </row>
        <row r="45">
          <cell r="A45" t="str">
            <v>Energy Efficiency Committed Investment ($M)</v>
          </cell>
          <cell r="B45" t="str">
            <v>H</v>
          </cell>
          <cell r="C45">
            <v>20.071424</v>
          </cell>
          <cell r="D45">
            <v>87.3</v>
          </cell>
          <cell r="E45" t="str">
            <v>é</v>
          </cell>
          <cell r="F45">
            <v>89.7</v>
          </cell>
          <cell r="K45">
            <v>89.7</v>
          </cell>
          <cell r="P45">
            <v>9.7853949999999994</v>
          </cell>
          <cell r="Q45">
            <v>10.370900910000001</v>
          </cell>
          <cell r="R45" t="str">
            <v>-</v>
          </cell>
          <cell r="S45">
            <v>8.8000000000000007</v>
          </cell>
          <cell r="T45" t="str">
            <v>-</v>
          </cell>
          <cell r="U45">
            <v>0.23300000000000001</v>
          </cell>
          <cell r="X45">
            <v>8.8000000000000007</v>
          </cell>
          <cell r="AC45">
            <v>0.23300000000000001</v>
          </cell>
        </row>
        <row r="46">
          <cell r="P46" t="str">
            <v>Accountability O&amp;M ($M)</v>
          </cell>
          <cell r="Q46" t="str">
            <v>L</v>
          </cell>
          <cell r="R46">
            <v>12.9</v>
          </cell>
          <cell r="S46">
            <v>14.713585</v>
          </cell>
          <cell r="T46" t="str">
            <v>-</v>
          </cell>
          <cell r="U46">
            <v>15.112959</v>
          </cell>
          <cell r="V46">
            <v>2.5872310000000001</v>
          </cell>
          <cell r="W46">
            <v>3.014513</v>
          </cell>
          <cell r="X46">
            <v>2.344919</v>
          </cell>
          <cell r="Y46">
            <v>1.3205929999999999</v>
          </cell>
          <cell r="Z46">
            <v>0.39267099999999999</v>
          </cell>
          <cell r="AA46">
            <v>0.75771900000000003</v>
          </cell>
          <cell r="AB46">
            <v>0.101812</v>
          </cell>
          <cell r="AC46">
            <v>4.5935009999999998</v>
          </cell>
        </row>
        <row r="47">
          <cell r="P47" t="str">
            <v>Net Write-Off ($) /$100 billed</v>
          </cell>
          <cell r="Q47" t="str">
            <v>L</v>
          </cell>
          <cell r="R47">
            <v>1.22</v>
          </cell>
          <cell r="S47">
            <v>0.82</v>
          </cell>
          <cell r="T47" t="str">
            <v>-</v>
          </cell>
          <cell r="U47">
            <v>2.72</v>
          </cell>
          <cell r="X47">
            <v>2.72</v>
          </cell>
        </row>
        <row r="48">
          <cell r="A48" t="str">
            <v>Expected to meet or exceed goal   é    Achievement of goal not yet assured   çè    Not expected to meet goal   ê</v>
          </cell>
          <cell r="I48" t="str">
            <v>Report Under Development</v>
          </cell>
          <cell r="P48" t="str">
            <v>Days Sales Outstanding</v>
          </cell>
          <cell r="Q48" t="str">
            <v>L</v>
          </cell>
          <cell r="R48">
            <v>34.4</v>
          </cell>
          <cell r="S48">
            <v>34.5</v>
          </cell>
          <cell r="T48" t="str">
            <v>-</v>
          </cell>
          <cell r="U48">
            <v>39.5</v>
          </cell>
          <cell r="X48">
            <v>39.5</v>
          </cell>
        </row>
        <row r="49">
          <cell r="P49" t="str">
            <v>Aged Receivables &gt;90 Days (%) 3</v>
          </cell>
          <cell r="Q49" t="str">
            <v>L</v>
          </cell>
          <cell r="R49">
            <v>0.17599999999999999</v>
          </cell>
          <cell r="S49">
            <v>0.14499999999999999</v>
          </cell>
          <cell r="T49" t="str">
            <v>-</v>
          </cell>
          <cell r="U49">
            <v>0.25230000000000002</v>
          </cell>
          <cell r="X49">
            <v>0.25230000000000002</v>
          </cell>
        </row>
        <row r="50">
          <cell r="P50" t="str">
            <v xml:space="preserve">Notice Dollars Collected on RNP (%) </v>
          </cell>
          <cell r="Q50" t="str">
            <v>H</v>
          </cell>
          <cell r="R50">
            <v>0.66</v>
          </cell>
          <cell r="S50">
            <v>0.70099999999999996</v>
          </cell>
        </row>
        <row r="51">
          <cell r="P51" t="str">
            <v>Dollars Treated by Field Collections</v>
          </cell>
          <cell r="Q51" t="str">
            <v>H</v>
          </cell>
          <cell r="R51">
            <v>13.9</v>
          </cell>
          <cell r="S51">
            <v>15.630308720588252</v>
          </cell>
        </row>
        <row r="52">
          <cell r="P52" t="str">
            <v>Unbilled Revenue Recovery ($M)</v>
          </cell>
          <cell r="Q52" t="str">
            <v>H</v>
          </cell>
          <cell r="R52">
            <v>2.2000000000000002</v>
          </cell>
          <cell r="S52">
            <v>2.9797671473796945</v>
          </cell>
        </row>
        <row r="53">
          <cell r="P53" t="str">
            <v>Delinquent Accounts Covered By Deposit</v>
          </cell>
          <cell r="Q53" t="str">
            <v>H</v>
          </cell>
          <cell r="R53">
            <v>0.247</v>
          </cell>
          <cell r="S53">
            <v>0.23</v>
          </cell>
          <cell r="T53" t="str">
            <v>-</v>
          </cell>
          <cell r="U53">
            <v>0.183</v>
          </cell>
          <cell r="X53">
            <v>0.183</v>
          </cell>
        </row>
        <row r="54">
          <cell r="P54" t="str">
            <v>LCS Outdoor Lighting Sales ($M)</v>
          </cell>
          <cell r="Q54" t="str">
            <v>H</v>
          </cell>
          <cell r="R54">
            <v>0.67</v>
          </cell>
          <cell r="S54">
            <v>0.4572</v>
          </cell>
          <cell r="T54" t="str">
            <v>+</v>
          </cell>
          <cell r="U54">
            <v>0.27300000000000002</v>
          </cell>
          <cell r="Z54">
            <v>0.27300000000000002</v>
          </cell>
        </row>
        <row r="55">
          <cell r="A55" t="str">
            <v>Arrow Choices</v>
          </cell>
          <cell r="B55" t="str">
            <v>ê</v>
          </cell>
          <cell r="C55" t="str">
            <v>ê</v>
          </cell>
          <cell r="P55" t="str">
            <v>Contract Revenue ($M)</v>
          </cell>
          <cell r="Q55" t="str">
            <v>H</v>
          </cell>
          <cell r="R55">
            <v>6.9</v>
          </cell>
          <cell r="S55">
            <v>7.0078522185032197</v>
          </cell>
          <cell r="T55" t="str">
            <v>+</v>
          </cell>
          <cell r="U55">
            <v>7.5</v>
          </cell>
          <cell r="AA55">
            <v>7.5</v>
          </cell>
        </row>
        <row r="56">
          <cell r="B56" t="str">
            <v>é</v>
          </cell>
          <cell r="C56" t="str">
            <v>é</v>
          </cell>
          <cell r="P56" t="str">
            <v>AWH Revenue ($M)</v>
          </cell>
          <cell r="Q56" t="str">
            <v>H</v>
          </cell>
          <cell r="R56">
            <v>1.2</v>
          </cell>
          <cell r="S56">
            <v>1.267496</v>
          </cell>
          <cell r="T56" t="str">
            <v>+</v>
          </cell>
          <cell r="U56">
            <v>1.4</v>
          </cell>
          <cell r="AA56">
            <v>1.4</v>
          </cell>
        </row>
        <row r="57">
          <cell r="B57" t="str">
            <v>çè</v>
          </cell>
          <cell r="C57" t="str">
            <v>çè</v>
          </cell>
          <cell r="P57" t="str">
            <v>HVAC Revenue ($M)</v>
          </cell>
          <cell r="Q57" t="str">
            <v>H</v>
          </cell>
          <cell r="R57">
            <v>2.2999999999999998</v>
          </cell>
          <cell r="S57">
            <v>2.8912330000000002</v>
          </cell>
          <cell r="T57" t="str">
            <v>+</v>
          </cell>
          <cell r="U57">
            <v>3.2</v>
          </cell>
          <cell r="AA57">
            <v>3.2</v>
          </cell>
        </row>
        <row r="58">
          <cell r="P58" t="str">
            <v>Payment Assistance-# Of Accounts</v>
          </cell>
          <cell r="Q58" t="str">
            <v>H</v>
          </cell>
          <cell r="R58">
            <v>0</v>
          </cell>
          <cell r="S58">
            <v>253825.75</v>
          </cell>
          <cell r="T58" t="str">
            <v>+</v>
          </cell>
          <cell r="U58">
            <v>288072</v>
          </cell>
          <cell r="Y58">
            <v>288072</v>
          </cell>
        </row>
        <row r="59">
          <cell r="P59" t="str">
            <v>Payment Assistance-Dollars ($M)</v>
          </cell>
          <cell r="Q59" t="str">
            <v>H</v>
          </cell>
          <cell r="R59">
            <v>9.1</v>
          </cell>
          <cell r="S59">
            <v>20.135999999999999</v>
          </cell>
          <cell r="T59" t="str">
            <v>-</v>
          </cell>
          <cell r="U59">
            <v>9.1999999999999993</v>
          </cell>
          <cell r="Y59">
            <v>9.1999999999999993</v>
          </cell>
        </row>
        <row r="60">
          <cell r="P60" t="str">
            <v>Capital Projects' Results</v>
          </cell>
          <cell r="Q60" t="str">
            <v>H</v>
          </cell>
          <cell r="R60" t="str">
            <v>NA</v>
          </cell>
          <cell r="S60">
            <v>0.95</v>
          </cell>
          <cell r="T60" t="str">
            <v>Quarterly</v>
          </cell>
        </row>
        <row r="63">
          <cell r="P63" t="str">
            <v>GREEN (ENERGY)</v>
          </cell>
          <cell r="Q63" t="str">
            <v>Customer Operations</v>
          </cell>
        </row>
        <row r="64">
          <cell r="Q64" t="str">
            <v>L/H</v>
          </cell>
          <cell r="R64" t="str">
            <v>November 08</v>
          </cell>
          <cell r="S64" t="str">
            <v>2009 Target</v>
          </cell>
          <cell r="T64" t="str">
            <v>Monthly / Quarterly Status</v>
          </cell>
          <cell r="U64" t="str">
            <v>Cust Ops</v>
          </cell>
          <cell r="V64" t="str">
            <v>Cust Cont</v>
          </cell>
          <cell r="W64" t="str">
            <v>Dist Ops</v>
          </cell>
          <cell r="X64" t="str">
            <v>Billing &amp; Rev Ops</v>
          </cell>
          <cell r="Y64" t="str">
            <v>Com Rel &amp; CSC</v>
          </cell>
          <cell r="Z64" t="str">
            <v>LCS &amp; AD</v>
          </cell>
          <cell r="AA64" t="str">
            <v>UM</v>
          </cell>
          <cell r="AB64" t="str">
            <v>RPA</v>
          </cell>
          <cell r="AC64" t="str">
            <v>VP &amp; Support</v>
          </cell>
        </row>
        <row r="65">
          <cell r="P65" t="str">
            <v>Web Transactions (%)</v>
          </cell>
          <cell r="Q65" t="str">
            <v>H</v>
          </cell>
          <cell r="R65">
            <v>1.26E-2</v>
          </cell>
          <cell r="S65">
            <v>0.03</v>
          </cell>
          <cell r="T65" t="str">
            <v>+</v>
          </cell>
          <cell r="U65">
            <v>0.30199999999999999</v>
          </cell>
          <cell r="V65">
            <v>0.30199999999999999</v>
          </cell>
        </row>
        <row r="66">
          <cell r="P66" t="str">
            <v>Paperless Billing (%)</v>
          </cell>
          <cell r="Q66" t="str">
            <v>H</v>
          </cell>
          <cell r="R66" t="str">
            <v>NA</v>
          </cell>
          <cell r="S66">
            <v>2.5000000000000001E-2</v>
          </cell>
          <cell r="T66" t="str">
            <v>-</v>
          </cell>
          <cell r="U66">
            <v>1.6E-2</v>
          </cell>
          <cell r="X66">
            <v>1.6E-2</v>
          </cell>
        </row>
        <row r="67">
          <cell r="P67" t="str">
            <v>Solar Loan Program Applications (MW)</v>
          </cell>
          <cell r="Q67" t="str">
            <v>H</v>
          </cell>
          <cell r="R67" t="str">
            <v>NA</v>
          </cell>
          <cell r="S67">
            <v>11.4</v>
          </cell>
          <cell r="T67" t="str">
            <v>Quarterly</v>
          </cell>
        </row>
        <row r="68">
          <cell r="P68" t="str">
            <v>Cost Per Tier 1 Audit (Whole House Efficiency Sub-Prog)</v>
          </cell>
          <cell r="Q68" t="str">
            <v>L</v>
          </cell>
          <cell r="R68" t="str">
            <v>NA</v>
          </cell>
          <cell r="S68">
            <v>184</v>
          </cell>
          <cell r="T68" t="str">
            <v>Quarterly</v>
          </cell>
        </row>
        <row r="69">
          <cell r="P69" t="str">
            <v>Carbon Abatement Committed Contracts for Warehouses and Hospitals ($M)</v>
          </cell>
          <cell r="Q69" t="str">
            <v>H</v>
          </cell>
          <cell r="R69" t="str">
            <v>NA</v>
          </cell>
          <cell r="S69">
            <v>7.1999999999999993</v>
          </cell>
          <cell r="T69" t="str">
            <v>Quarterly</v>
          </cell>
        </row>
        <row r="70">
          <cell r="P70" t="str">
            <v>Fleet MPG</v>
          </cell>
          <cell r="Q70" t="str">
            <v>L</v>
          </cell>
          <cell r="R70">
            <v>9.14</v>
          </cell>
          <cell r="S70">
            <v>8.9</v>
          </cell>
          <cell r="T70" t="str">
            <v>+</v>
          </cell>
          <cell r="U70">
            <v>9.02</v>
          </cell>
        </row>
        <row r="71">
          <cell r="P71" t="str">
            <v>Non-Hazardous Waste</v>
          </cell>
          <cell r="Q71" t="str">
            <v>H</v>
          </cell>
          <cell r="R71">
            <v>0.74739999999999995</v>
          </cell>
          <cell r="S71">
            <v>0.69499999999999995</v>
          </cell>
          <cell r="T71" t="str">
            <v>-</v>
          </cell>
          <cell r="U71">
            <v>0.62539999999999996</v>
          </cell>
        </row>
      </sheetData>
      <sheetData sheetId="2"/>
      <sheetData sheetId="3"/>
      <sheetData sheetId="4"/>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Menu"/>
      <sheetName val="FinancialMenu"/>
      <sheetName val="Operational"/>
      <sheetName val="cost center 2001"/>
      <sheetName val="State Avg APSO per Prem hr"/>
      <sheetName val="Southern Avg APSO per Prem"/>
      <sheetName val="Central Avg APSO Rev per Prem"/>
      <sheetName val="Midcental Avg APSO per Prem"/>
      <sheetName val="Northern Avg APSO Rev Per prem"/>
      <sheetName val="Avg APSO Rev per prem by Distri"/>
      <sheetName val="State Avg HVAC per Prem hr"/>
      <sheetName val="Southern Avg HVAC per Prem"/>
      <sheetName val="Central Avg HVAC Rev per Prem"/>
      <sheetName val="Midcental Avg HVAC per Prem"/>
      <sheetName val="Northern Avg HVAC Rev Per prem"/>
      <sheetName val="Avg HVAC Rev per prem by Distri"/>
      <sheetName val="% of Prem Hours by Category"/>
      <sheetName val="Rev in force per Houshold"/>
      <sheetName val="Homes Enrolled"/>
      <sheetName val="Incurred Cost State"/>
      <sheetName val="Incurred Cost Southern"/>
      <sheetName val="Incurred Cost Central"/>
      <sheetName val="Incurred Cost Mid Central"/>
      <sheetName val="Incurred Cost Northern"/>
      <sheetName val="Incurred Cost Support"/>
      <sheetName val="Incurred Cost OPS Planning"/>
      <sheetName val="Net Costs"/>
      <sheetName val="IncomeMenu"/>
      <sheetName val="State Oper Income"/>
      <sheetName val="State Level Addins"/>
      <sheetName val="StateYTDCheck"/>
      <sheetName val="Southern Income"/>
      <sheetName val="SouthYTDCheck"/>
      <sheetName val="S Burlington"/>
      <sheetName val="S Trenton"/>
      <sheetName val="S Audubon"/>
      <sheetName val="S WG&amp;EA"/>
      <sheetName val="Central Income"/>
      <sheetName val="CentYTDCheck"/>
      <sheetName val="C JersCity"/>
      <sheetName val="C Harrison"/>
      <sheetName val="C Summit"/>
      <sheetName val="C WG&amp;EA"/>
      <sheetName val="Mid-Central Income"/>
      <sheetName val="MidCentYTDCheck"/>
      <sheetName val="MC NewBrunswick"/>
      <sheetName val="MC Orange"/>
      <sheetName val="MC Plainfield"/>
      <sheetName val="MC WG&amp;EA"/>
      <sheetName val="Northern Income"/>
      <sheetName val="NorthYTDCheck"/>
      <sheetName val="N Clifton"/>
      <sheetName val="N Oakland"/>
      <sheetName val="N Oradell"/>
      <sheetName val="N WG&amp;EA"/>
      <sheetName val="DistrictMarginHVAC"/>
      <sheetName val="DistrictMarginAPSO"/>
      <sheetName val="DistrictMarginContracts"/>
      <sheetName val="AS FINANCIAL &amp; INCOME 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E&amp;GSafeReliableSummary"/>
      <sheetName val="SafeReliableMenu"/>
      <sheetName val="IndexSafeReliableMenu"/>
      <sheetName val="Reporting_Period"/>
      <sheetName val="Data_SAIFI"/>
      <sheetName val="Data_MAIFI"/>
      <sheetName val="Data_CAIDI"/>
      <sheetName val="Data_CEMI"/>
      <sheetName val="Data_GasLeaks"/>
      <sheetName val="Data_Damages"/>
      <sheetName val="Data_LeakRespRate"/>
      <sheetName val="Data_FixItRight"/>
      <sheetName val="Data_MeterReads"/>
      <sheetName val="Data_InqServLevel"/>
      <sheetName val="Data_FirstContact"/>
      <sheetName val="Data_Regulatory_InqRate"/>
      <sheetName val="Data_RegInqNonCollections"/>
      <sheetName val="Data_PerceptionSurvResSm"/>
      <sheetName val="Data_PerceptionSurveyLarge"/>
      <sheetName val="Data_MOT"/>
      <sheetName val="Data_NewBusiness"/>
      <sheetName val="SAIFI_Qtr_YTD"/>
      <sheetName val="MAIFI_Qtr_YTD"/>
      <sheetName val="CAIDI_Qtr_YTD"/>
      <sheetName val="CEMI_Qtr_YTD"/>
      <sheetName val="GasLeaks_Qtr_YTD"/>
      <sheetName val="Damages_Qtr_YTD"/>
      <sheetName val="LeakRespRate_Qtr_YTD"/>
      <sheetName val="FixItRight_Qtr_YTD"/>
      <sheetName val="MeterReads_Qtr_YTD"/>
      <sheetName val="InqServLevel_Qtr_YTD"/>
      <sheetName val="FirstContact_Qtr_YTD"/>
      <sheetName val="Regulatory_InqRate_Qtr_YTD"/>
      <sheetName val="Reg_InqNonCollections_Qtr_YTD"/>
      <sheetName val="PerceptionSurveyRes_Qtr_YTD"/>
      <sheetName val="PerceptionSurveySmall_Qtr_YTD"/>
      <sheetName val="PerceptionSurveyLarge_Qtr_YTD"/>
      <sheetName val="MOT_Qtr_YTD"/>
      <sheetName val="NewBusiness_Qtr_YTD"/>
    </sheetNames>
    <sheetDataSet>
      <sheetData sheetId="0" refreshError="1"/>
      <sheetData sheetId="1" refreshError="1"/>
      <sheetData sheetId="2" refreshError="1"/>
      <sheetData sheetId="3" refreshError="1">
        <row r="2">
          <cell r="B2">
            <v>2010</v>
          </cell>
        </row>
        <row r="3">
          <cell r="B3" t="str">
            <v>Q1</v>
          </cell>
        </row>
        <row r="4">
          <cell r="B4" t="str">
            <v>February</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ec"/>
      <sheetName val="Reporting_Period"/>
      <sheetName val="Definitions"/>
      <sheetName val="2010_ED_ScoreCard"/>
      <sheetName val="PSE&amp;GSafeReliableSummary"/>
      <sheetName val="SafeReliableMenu"/>
      <sheetName val="IndexSafeReliableMenu"/>
      <sheetName val="Data_SAIFI"/>
      <sheetName val="Data_MAIFI"/>
      <sheetName val="Data_CAIDI"/>
      <sheetName val="Data_GasLeaks"/>
      <sheetName val="Data_Damages"/>
      <sheetName val="Data_LeakRespRate"/>
      <sheetName val="Data_MeterReads"/>
      <sheetName val="Data_InqServLevel"/>
      <sheetName val="Data_RegInqNonCollections"/>
      <sheetName val="Data_PerceptionSurvRes"/>
      <sheetName val="Data_PerceptionSurvSmall"/>
      <sheetName val="Data_PerceptionSurveyLarge"/>
      <sheetName val="Data_MOT"/>
      <sheetName val="SAIFI_Qtr_YTD"/>
      <sheetName val="MAIFI_Qtr_YTD"/>
      <sheetName val="CAIDI_Qtr_YTD"/>
      <sheetName val="GasLeaks_Qtr_YTD"/>
      <sheetName val="Damages_Qtr_YTD"/>
      <sheetName val="LeakRespRate_Qtr_YTD"/>
      <sheetName val="MeterReads_Qtr_YTD"/>
      <sheetName val="InqServLevel_Qtr_YTD"/>
      <sheetName val="Reg_InqNonCollections_Qtr_YTD"/>
      <sheetName val="PerceptionSurveyRes_Qtr_YTD"/>
      <sheetName val="PerceptionSurveySmall_Qtr_YTD"/>
    </sheetNames>
    <sheetDataSet>
      <sheetData sheetId="0" refreshError="1">
        <row r="8">
          <cell r="P8">
            <v>131.73510800899999</v>
          </cell>
          <cell r="Q8">
            <v>9.44</v>
          </cell>
          <cell r="R8" t="str">
            <v>-</v>
          </cell>
          <cell r="S8">
            <v>13.049499699</v>
          </cell>
          <cell r="T8">
            <v>76.599950581000002</v>
          </cell>
          <cell r="U8">
            <v>0</v>
          </cell>
          <cell r="V8">
            <v>0</v>
          </cell>
          <cell r="W8">
            <v>0</v>
          </cell>
          <cell r="X8">
            <v>0</v>
          </cell>
          <cell r="Y8">
            <v>0</v>
          </cell>
          <cell r="Z8">
            <v>0</v>
          </cell>
          <cell r="AA8">
            <v>0</v>
          </cell>
        </row>
        <row r="9">
          <cell r="P9">
            <v>7.1631236663159124</v>
          </cell>
          <cell r="Q9">
            <v>3.75</v>
          </cell>
          <cell r="R9" t="str">
            <v>-</v>
          </cell>
          <cell r="S9">
            <v>7.4100832708107554</v>
          </cell>
          <cell r="T9">
            <v>9.1982569303117057</v>
          </cell>
          <cell r="U9">
            <v>10.011112334691507</v>
          </cell>
          <cell r="V9">
            <v>4.8329023995360414</v>
          </cell>
          <cell r="W9">
            <v>5.3496104146215551</v>
          </cell>
          <cell r="X9">
            <v>0</v>
          </cell>
          <cell r="Y9">
            <v>0</v>
          </cell>
          <cell r="Z9">
            <v>9.7490116939395275</v>
          </cell>
          <cell r="AA9">
            <v>20.036064916850332</v>
          </cell>
        </row>
        <row r="10">
          <cell r="P10">
            <v>0.97004986091539491</v>
          </cell>
          <cell r="Q10">
            <v>0.97299999999999998</v>
          </cell>
          <cell r="R10" t="str">
            <v>-</v>
          </cell>
          <cell r="S10">
            <v>0.96780520487253363</v>
          </cell>
          <cell r="T10">
            <v>0.9582043896400686</v>
          </cell>
          <cell r="U10">
            <v>0.96996324084797825</v>
          </cell>
          <cell r="V10">
            <v>0.96419252412839129</v>
          </cell>
          <cell r="W10">
            <v>0.9666851429192479</v>
          </cell>
          <cell r="X10">
            <v>0.95949950609153767</v>
          </cell>
          <cell r="Y10">
            <v>0.9635348371222725</v>
          </cell>
          <cell r="Z10">
            <v>0.98642810287498017</v>
          </cell>
          <cell r="AA10">
            <v>0.98734594345218485</v>
          </cell>
        </row>
        <row r="11">
          <cell r="P11">
            <v>0.21069636160105629</v>
          </cell>
          <cell r="Q11">
            <v>0.20032984245195637</v>
          </cell>
          <cell r="R11" t="str">
            <v xml:space="preserve"> -</v>
          </cell>
          <cell r="S11">
            <v>0.22403327065806986</v>
          </cell>
          <cell r="T11">
            <v>0.23003594553418397</v>
          </cell>
          <cell r="U11">
            <v>0.32032214613021803</v>
          </cell>
          <cell r="V11">
            <v>0.28557364267974472</v>
          </cell>
          <cell r="W11">
            <v>0.24899141397674165</v>
          </cell>
          <cell r="X11">
            <v>0.23641751728679619</v>
          </cell>
          <cell r="Y11">
            <v>0.10807979608975588</v>
          </cell>
          <cell r="Z11">
            <v>0.17845008934832274</v>
          </cell>
          <cell r="AA11">
            <v>3.9214393989323137E-2</v>
          </cell>
        </row>
        <row r="17">
          <cell r="P17" t="str">
            <v>Dec '09</v>
          </cell>
          <cell r="Q17" t="str">
            <v>2010 Plan</v>
          </cell>
          <cell r="R17" t="str">
            <v>Monthly Status</v>
          </cell>
          <cell r="S17" t="str">
            <v>ED</v>
          </cell>
          <cell r="T17" t="str">
            <v>CEN</v>
          </cell>
          <cell r="U17" t="str">
            <v>MET</v>
          </cell>
          <cell r="V17" t="str">
            <v>PAL</v>
          </cell>
          <cell r="W17" t="str">
            <v>SOU</v>
          </cell>
          <cell r="X17" t="str">
            <v>TC&amp;M</v>
          </cell>
          <cell r="Y17" t="str">
            <v>UOS</v>
          </cell>
          <cell r="Z17" t="str">
            <v>DP&amp;C</v>
          </cell>
        </row>
        <row r="18">
          <cell r="P18">
            <v>0.05</v>
          </cell>
          <cell r="Q18">
            <v>4.6455846222121365E-2</v>
          </cell>
          <cell r="R18" t="str">
            <v>o</v>
          </cell>
          <cell r="S18">
            <v>0.05</v>
          </cell>
          <cell r="T18">
            <v>0.06</v>
          </cell>
          <cell r="U18">
            <v>0.05</v>
          </cell>
          <cell r="V18">
            <v>0.04</v>
          </cell>
          <cell r="W18">
            <v>7.0000000000000007E-2</v>
          </cell>
        </row>
        <row r="19">
          <cell r="P19">
            <v>0.08</v>
          </cell>
          <cell r="Q19">
            <v>8.0346504248562808E-2</v>
          </cell>
          <cell r="R19" t="str">
            <v>+</v>
          </cell>
          <cell r="S19">
            <v>7.0000000000000007E-2</v>
          </cell>
          <cell r="T19">
            <v>0.09</v>
          </cell>
          <cell r="U19">
            <v>0.06</v>
          </cell>
          <cell r="V19">
            <v>0.04</v>
          </cell>
          <cell r="W19">
            <v>0.09</v>
          </cell>
          <cell r="X19">
            <v>3.2511263359225433E-2</v>
          </cell>
        </row>
        <row r="20">
          <cell r="P20">
            <v>64.52</v>
          </cell>
          <cell r="Q20">
            <v>55.621787737250557</v>
          </cell>
          <cell r="R20" t="str">
            <v>-</v>
          </cell>
          <cell r="S20">
            <v>66.510000000000005</v>
          </cell>
          <cell r="T20">
            <v>59.15</v>
          </cell>
          <cell r="U20">
            <v>67.34</v>
          </cell>
          <cell r="V20">
            <v>97.61</v>
          </cell>
          <cell r="W20">
            <v>53.67</v>
          </cell>
          <cell r="X20" t="str">
            <v>Pal</v>
          </cell>
          <cell r="Y20" t="str">
            <v>South</v>
          </cell>
          <cell r="Z20" t="str">
            <v>TC&amp;M</v>
          </cell>
          <cell r="AA20" t="str">
            <v>UOS</v>
          </cell>
        </row>
        <row r="21">
          <cell r="P21">
            <v>6.6225165562913907E-3</v>
          </cell>
          <cell r="Q21">
            <v>6.6225165562913907E-3</v>
          </cell>
          <cell r="R21" t="str">
            <v>+</v>
          </cell>
          <cell r="S21">
            <v>0</v>
          </cell>
          <cell r="T21" t="str">
            <v>+</v>
          </cell>
          <cell r="U21">
            <v>0.04</v>
          </cell>
          <cell r="V21">
            <v>0.03</v>
          </cell>
          <cell r="W21">
            <v>0.03</v>
          </cell>
          <cell r="X21">
            <v>0</v>
          </cell>
          <cell r="Y21">
            <v>0.05</v>
          </cell>
        </row>
        <row r="22">
          <cell r="P22">
            <v>0.62307692307692308</v>
          </cell>
          <cell r="Q22">
            <v>0.55600000000000005</v>
          </cell>
          <cell r="R22" t="str">
            <v>+</v>
          </cell>
          <cell r="S22">
            <v>0.56478405315614622</v>
          </cell>
          <cell r="T22">
            <v>0.5757575757575758</v>
          </cell>
          <cell r="U22">
            <v>0.53488372093023251</v>
          </cell>
          <cell r="V22">
            <v>0.48484848484848486</v>
          </cell>
          <cell r="W22">
            <v>0.6506024096385542</v>
          </cell>
          <cell r="X22">
            <v>7.0000000000000007E-2</v>
          </cell>
          <cell r="Y22">
            <v>0.1</v>
          </cell>
          <cell r="Z22">
            <v>3.5651092039635075E-2</v>
          </cell>
        </row>
        <row r="23">
          <cell r="P23">
            <v>72.946189949688105</v>
          </cell>
          <cell r="Q23">
            <v>76</v>
          </cell>
          <cell r="R23" t="str">
            <v>o</v>
          </cell>
          <cell r="S23">
            <v>76.298553283852698</v>
          </cell>
          <cell r="T23" t="str">
            <v>-</v>
          </cell>
          <cell r="U23">
            <v>70.39</v>
          </cell>
          <cell r="V23">
            <v>53.15</v>
          </cell>
          <cell r="W23">
            <v>136.38999999999999</v>
          </cell>
          <cell r="X23">
            <v>53.49</v>
          </cell>
          <cell r="Y23">
            <v>49.89</v>
          </cell>
        </row>
        <row r="24">
          <cell r="P24">
            <v>73.827362997590299</v>
          </cell>
          <cell r="Q24">
            <v>76</v>
          </cell>
          <cell r="R24" t="str">
            <v>+</v>
          </cell>
          <cell r="S24">
            <v>78.664250974889498</v>
          </cell>
        </row>
        <row r="25">
          <cell r="P25">
            <v>0.88868810986628122</v>
          </cell>
          <cell r="Q25">
            <v>0.84</v>
          </cell>
          <cell r="R25" t="str">
            <v>-</v>
          </cell>
          <cell r="S25">
            <v>0.70885341074020314</v>
          </cell>
          <cell r="T25">
            <v>0.62</v>
          </cell>
          <cell r="U25">
            <v>0.8</v>
          </cell>
          <cell r="V25">
            <v>0.88</v>
          </cell>
          <cell r="W25">
            <v>0.56000000000000005</v>
          </cell>
          <cell r="Z25">
            <v>0</v>
          </cell>
        </row>
        <row r="26">
          <cell r="P26">
            <v>8.69</v>
          </cell>
          <cell r="Q26">
            <v>9</v>
          </cell>
          <cell r="R26" t="str">
            <v>-</v>
          </cell>
          <cell r="S26">
            <v>8.5500000000000007</v>
          </cell>
          <cell r="T26">
            <v>8.56</v>
          </cell>
          <cell r="U26">
            <v>8.36</v>
          </cell>
          <cell r="V26">
            <v>8.5399999999999991</v>
          </cell>
          <cell r="W26">
            <v>8.73</v>
          </cell>
          <cell r="X26">
            <v>0.77142857142857146</v>
          </cell>
          <cell r="Y26">
            <v>0.65384615384615385</v>
          </cell>
          <cell r="Z26">
            <v>8.9499999999999993</v>
          </cell>
        </row>
        <row r="27">
          <cell r="P27">
            <v>18</v>
          </cell>
          <cell r="Q27">
            <v>19.497146998755639</v>
          </cell>
          <cell r="R27" t="str">
            <v>-</v>
          </cell>
          <cell r="S27">
            <v>22</v>
          </cell>
          <cell r="T27">
            <v>9</v>
          </cell>
          <cell r="U27">
            <v>9</v>
          </cell>
          <cell r="V27">
            <v>4</v>
          </cell>
          <cell r="W27">
            <v>0</v>
          </cell>
          <cell r="X27">
            <v>0</v>
          </cell>
          <cell r="Z27">
            <v>0</v>
          </cell>
          <cell r="AA27">
            <v>43.17</v>
          </cell>
        </row>
        <row r="28">
          <cell r="P28" t="str">
            <v xml:space="preserve">Perception Survey (Res/Sm Business) </v>
          </cell>
          <cell r="Q28" t="str">
            <v>H</v>
          </cell>
          <cell r="R28">
            <v>75.437069158065299</v>
          </cell>
          <cell r="S28">
            <v>76</v>
          </cell>
          <cell r="T28" t="str">
            <v>-</v>
          </cell>
          <cell r="U28">
            <v>73.253084911504601</v>
          </cell>
        </row>
        <row r="29">
          <cell r="P29" t="str">
            <v>Dec '09</v>
          </cell>
          <cell r="Q29" t="str">
            <v>2010 Plan</v>
          </cell>
          <cell r="R29" t="str">
            <v>Monthly Status</v>
          </cell>
          <cell r="S29" t="str">
            <v>ED</v>
          </cell>
          <cell r="T29" t="str">
            <v>CEN</v>
          </cell>
          <cell r="U29" t="str">
            <v>MET</v>
          </cell>
          <cell r="V29" t="str">
            <v>PAL</v>
          </cell>
          <cell r="W29" t="str">
            <v>SOU</v>
          </cell>
          <cell r="X29" t="str">
            <v>TC&amp;M</v>
          </cell>
          <cell r="Y29" t="str">
            <v>UOS</v>
          </cell>
          <cell r="Z29" t="str">
            <v>DP&amp;C</v>
          </cell>
          <cell r="AA29" t="str">
            <v>VP&amp;O</v>
          </cell>
        </row>
        <row r="30">
          <cell r="P30">
            <v>70.176370000000006</v>
          </cell>
          <cell r="Q30">
            <v>126.55934499999999</v>
          </cell>
          <cell r="R30" t="str">
            <v>+</v>
          </cell>
          <cell r="S30">
            <v>98.875302000000005</v>
          </cell>
          <cell r="T30">
            <v>8.0386159999999993</v>
          </cell>
          <cell r="U30">
            <v>7.3736800000000002</v>
          </cell>
          <cell r="V30">
            <v>10.796146</v>
          </cell>
          <cell r="W30">
            <v>10.021238</v>
          </cell>
          <cell r="X30">
            <v>0.221744</v>
          </cell>
          <cell r="Y30">
            <v>2.5366740000000001</v>
          </cell>
          <cell r="Z30">
            <v>50.760264999999997</v>
          </cell>
          <cell r="AA30">
            <v>9.1269390000000001</v>
          </cell>
        </row>
        <row r="31">
          <cell r="P31">
            <v>38.283583990000004</v>
          </cell>
          <cell r="Q31">
            <v>31.964803289999999</v>
          </cell>
          <cell r="R31" t="str">
            <v>-</v>
          </cell>
          <cell r="S31">
            <v>34.256933150000002</v>
          </cell>
          <cell r="T31">
            <v>2.3566097999999998</v>
          </cell>
          <cell r="U31">
            <v>1.9251653999999998</v>
          </cell>
          <cell r="V31">
            <v>1.8044302700000001</v>
          </cell>
          <cell r="W31">
            <v>2.2296226099999998</v>
          </cell>
          <cell r="X31">
            <v>1.21570387</v>
          </cell>
          <cell r="Y31">
            <v>2.3618132799999998</v>
          </cell>
          <cell r="Z31">
            <v>5.9068916900000001</v>
          </cell>
          <cell r="AA31">
            <v>16.456696230000002</v>
          </cell>
        </row>
        <row r="32">
          <cell r="P32" t="str">
            <v>Number of Regulatory Inquiries</v>
          </cell>
          <cell r="Q32" t="str">
            <v>L</v>
          </cell>
          <cell r="R32">
            <v>9</v>
          </cell>
          <cell r="S32">
            <v>19.88649262202043</v>
          </cell>
          <cell r="T32" t="str">
            <v>+</v>
          </cell>
          <cell r="U32">
            <v>18</v>
          </cell>
          <cell r="V32">
            <v>6</v>
          </cell>
          <cell r="W32">
            <v>8</v>
          </cell>
          <cell r="X32">
            <v>1</v>
          </cell>
          <cell r="Y32">
            <v>2</v>
          </cell>
          <cell r="Z32">
            <v>1</v>
          </cell>
        </row>
        <row r="33">
          <cell r="Q33">
            <v>1.3483108788979365</v>
          </cell>
          <cell r="R33" t="str">
            <v>-</v>
          </cell>
          <cell r="S33">
            <v>1.0976894847298717</v>
          </cell>
        </row>
        <row r="36">
          <cell r="A36" t="str">
            <v>Total CapEx ($M)</v>
          </cell>
          <cell r="B36" t="str">
            <v>L</v>
          </cell>
          <cell r="C36">
            <v>465.84120000000001</v>
          </cell>
          <cell r="D36">
            <v>588.20000000000005</v>
          </cell>
          <cell r="E36" t="str">
            <v>ê</v>
          </cell>
          <cell r="F36">
            <v>565.36101299999996</v>
          </cell>
          <cell r="G36">
            <v>57.642246999999998</v>
          </cell>
          <cell r="H36">
            <v>72.520971000000003</v>
          </cell>
          <cell r="I36">
            <v>70.654605000000004</v>
          </cell>
          <cell r="J36">
            <v>65.823378000000005</v>
          </cell>
          <cell r="K36">
            <v>9.7949929999999998</v>
          </cell>
          <cell r="L36">
            <v>11.990888999999999</v>
          </cell>
          <cell r="M36">
            <v>251.60314700000001</v>
          </cell>
          <cell r="N36">
            <v>25.149084999999999</v>
          </cell>
        </row>
        <row r="37">
          <cell r="A37" t="str">
            <v>GREEN ENERGY</v>
          </cell>
          <cell r="B37" t="str">
            <v>L/H</v>
          </cell>
          <cell r="C37" t="str">
            <v>Dec '09 YTD</v>
          </cell>
          <cell r="D37" t="str">
            <v>2010 Target</v>
          </cell>
          <cell r="E37" t="str">
            <v>YE Forecast</v>
          </cell>
          <cell r="F37" t="str">
            <v>ED</v>
          </cell>
          <cell r="G37" t="str">
            <v>CEN</v>
          </cell>
          <cell r="H37" t="str">
            <v>MET</v>
          </cell>
          <cell r="I37" t="str">
            <v>PAL</v>
          </cell>
          <cell r="J37" t="str">
            <v>SOU</v>
          </cell>
          <cell r="K37" t="str">
            <v>TC&amp;M</v>
          </cell>
          <cell r="L37" t="str">
            <v>UOS</v>
          </cell>
          <cell r="M37" t="str">
            <v>DP&amp;C</v>
          </cell>
          <cell r="N37" t="str">
            <v>VP&amp;O</v>
          </cell>
          <cell r="P37" t="str">
            <v>Dec '09</v>
          </cell>
          <cell r="Q37" t="str">
            <v>2010 Plan</v>
          </cell>
          <cell r="R37" t="str">
            <v>Monthly Status</v>
          </cell>
          <cell r="S37" t="str">
            <v>ED</v>
          </cell>
          <cell r="T37" t="str">
            <v>CEN</v>
          </cell>
          <cell r="U37" t="str">
            <v>MET</v>
          </cell>
          <cell r="V37" t="str">
            <v>PAL</v>
          </cell>
          <cell r="W37" t="str">
            <v>SOU</v>
          </cell>
          <cell r="X37" t="str">
            <v>TC&amp;M</v>
          </cell>
          <cell r="Y37" t="str">
            <v>UOS</v>
          </cell>
          <cell r="Z37" t="str">
            <v>DP&amp;C</v>
          </cell>
          <cell r="AA37" t="str">
            <v>VP&amp;O</v>
          </cell>
        </row>
        <row r="38">
          <cell r="A38" t="str">
            <v>Fleet MPG</v>
          </cell>
          <cell r="B38" t="str">
            <v>H</v>
          </cell>
          <cell r="C38">
            <v>8.8774625332983828</v>
          </cell>
          <cell r="D38">
            <v>263</v>
          </cell>
          <cell r="E38" t="str">
            <v>é</v>
          </cell>
          <cell r="F38">
            <v>249.49952089599998</v>
          </cell>
          <cell r="L38">
            <v>9.1999999999999993</v>
          </cell>
          <cell r="M38">
            <v>249.49952089599998</v>
          </cell>
          <cell r="P38">
            <v>7.5416792827344903</v>
          </cell>
          <cell r="Q38">
            <v>9.1999999999999993</v>
          </cell>
          <cell r="R38" t="str">
            <v>-</v>
          </cell>
          <cell r="S38">
            <v>8.4895110890309926</v>
          </cell>
          <cell r="Y38">
            <v>8.4895110890309926</v>
          </cell>
        </row>
        <row r="39">
          <cell r="A39" t="str">
            <v>% Landfill Disposal</v>
          </cell>
          <cell r="B39" t="str">
            <v>L</v>
          </cell>
          <cell r="C39">
            <v>3.456220417979268E-2</v>
          </cell>
          <cell r="D39">
            <v>3.4000000000000002E-2</v>
          </cell>
          <cell r="E39" t="str">
            <v>ê</v>
          </cell>
          <cell r="F39">
            <v>5.0346557451101975E-2</v>
          </cell>
          <cell r="G39">
            <v>6.8685369275619607E-2</v>
          </cell>
          <cell r="H39">
            <v>4.6027103280768908E-2</v>
          </cell>
          <cell r="I39">
            <v>5.7550132155136692E-2</v>
          </cell>
          <cell r="J39">
            <v>5.7752540907539049E-2</v>
          </cell>
          <cell r="K39">
            <v>1.0362783099317345E-2</v>
          </cell>
          <cell r="L39">
            <v>8.1153892955502405E-2</v>
          </cell>
          <cell r="M39">
            <v>0.52450691727272736</v>
          </cell>
          <cell r="N39">
            <v>0.47020614027815949</v>
          </cell>
          <cell r="P39">
            <v>6.7489381134526558E-2</v>
          </cell>
          <cell r="Q39">
            <v>3.4000000000000002E-2</v>
          </cell>
          <cell r="R39" t="str">
            <v>-</v>
          </cell>
          <cell r="S39">
            <v>4.6161213844463304E-2</v>
          </cell>
          <cell r="T39">
            <v>9.1186056681353031E-2</v>
          </cell>
          <cell r="U39">
            <v>3.5766209114339517E-2</v>
          </cell>
          <cell r="V39">
            <v>2.997889276915194E-2</v>
          </cell>
          <cell r="W39">
            <v>1.4007346806395435E-2</v>
          </cell>
          <cell r="X39">
            <v>9.3243560752975848E-3</v>
          </cell>
          <cell r="Y39">
            <v>6.6545003579314586E-3</v>
          </cell>
          <cell r="AA39">
            <v>0.75374966567797508</v>
          </cell>
        </row>
        <row r="40">
          <cell r="A40" t="str">
            <v>Solar for All Earnings ($M)*</v>
          </cell>
          <cell r="B40" t="str">
            <v>H</v>
          </cell>
          <cell r="C40">
            <v>0.7228306053652146</v>
          </cell>
          <cell r="D40">
            <v>5.2</v>
          </cell>
          <cell r="E40" t="str">
            <v>ê</v>
          </cell>
          <cell r="F40">
            <v>3.4674900000000002</v>
          </cell>
          <cell r="M40">
            <v>0.92644702465783213</v>
          </cell>
          <cell r="N40">
            <v>0</v>
          </cell>
          <cell r="Q40">
            <v>0.43333333333333335</v>
          </cell>
          <cell r="R40" t="str">
            <v>+</v>
          </cell>
          <cell r="S40">
            <v>0.71524152766152627</v>
          </cell>
        </row>
        <row r="41">
          <cell r="A41" t="str">
            <v>Current Capital Performance</v>
          </cell>
          <cell r="B41" t="str">
            <v>H</v>
          </cell>
          <cell r="D41">
            <v>1</v>
          </cell>
          <cell r="E41" t="str">
            <v>é</v>
          </cell>
          <cell r="F41">
            <v>1.0474094141460659</v>
          </cell>
          <cell r="M41">
            <v>1.0474094141460659</v>
          </cell>
        </row>
        <row r="42">
          <cell r="A42" t="str">
            <v>* Color coding for Solar for all reflects revised target of 3.8</v>
          </cell>
        </row>
        <row r="43">
          <cell r="A43" t="str">
            <v>LEGEND:            On track to meet Target   é               Meeting Target at risk   çè               Not expected to meet Target   ê</v>
          </cell>
          <cell r="B43" t="str">
            <v>ELECTRIC DELIVERY</v>
          </cell>
          <cell r="P43" t="str">
            <v>LEGEND:       Monthly Status:     +  = Better than Plan,     o  = On Plan,      -  = Worse than Plan</v>
          </cell>
        </row>
        <row r="44">
          <cell r="A44" t="str">
            <v>GREEN ENERGY</v>
          </cell>
          <cell r="B44" t="str">
            <v>L/H</v>
          </cell>
          <cell r="C44" t="str">
            <v>Nov 08 YTD</v>
          </cell>
          <cell r="D44" t="str">
            <v>2009 Target</v>
          </cell>
          <cell r="E44" t="str">
            <v>YE Forecast</v>
          </cell>
          <cell r="F44" t="str">
            <v>Electric Delivery</v>
          </cell>
          <cell r="G44" t="str">
            <v>Central</v>
          </cell>
          <cell r="H44" t="str">
            <v>Metro</v>
          </cell>
          <cell r="I44" t="str">
            <v>Pal</v>
          </cell>
          <cell r="J44" t="str">
            <v>South</v>
          </cell>
          <cell r="K44" t="str">
            <v>TC&amp;M</v>
          </cell>
          <cell r="L44" t="str">
            <v>UOS</v>
          </cell>
          <cell r="M44" t="str">
            <v>DPCG</v>
          </cell>
          <cell r="N44" t="str">
            <v>VP &amp;
Other</v>
          </cell>
        </row>
        <row r="45">
          <cell r="A45" t="str">
            <v>Fleet MPG</v>
          </cell>
          <cell r="B45" t="str">
            <v>H</v>
          </cell>
          <cell r="C45">
            <v>8.9209439931870556</v>
          </cell>
          <cell r="D45">
            <v>8.9</v>
          </cell>
          <cell r="E45" t="str">
            <v>é</v>
          </cell>
          <cell r="F45">
            <v>8.9570602114278799</v>
          </cell>
          <cell r="L45">
            <v>8.9570602114278799</v>
          </cell>
        </row>
        <row r="46">
          <cell r="A46" t="str">
            <v>Non-Hazardous Waste</v>
          </cell>
          <cell r="B46" t="str">
            <v>H</v>
          </cell>
          <cell r="C46">
            <v>0.90732662071486347</v>
          </cell>
          <cell r="D46">
            <v>0.93799999999999994</v>
          </cell>
          <cell r="E46" t="str">
            <v>é</v>
          </cell>
          <cell r="F46">
            <v>0.96672648230640068</v>
          </cell>
          <cell r="G46">
            <v>0.93401577664008528</v>
          </cell>
          <cell r="H46">
            <v>0.95547171814378495</v>
          </cell>
          <cell r="I46">
            <v>0.94451781694458659</v>
          </cell>
          <cell r="J46">
            <v>0.94245263197025497</v>
          </cell>
          <cell r="K46">
            <v>0.99559258914189197</v>
          </cell>
          <cell r="L46">
            <v>0.76243251262600054</v>
          </cell>
          <cell r="N46">
            <v>0.25552218082346839</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persons/person.xml><?xml version="1.0" encoding="utf-8"?>
<personList xmlns="http://schemas.microsoft.com/office/spreadsheetml/2018/threadedcomments" xmlns:x="http://schemas.openxmlformats.org/spreadsheetml/2006/main">
  <person displayName="Paul Dumais" id="{23E9C904-F645-4D7C-A421-10805B8ACA06}" userId="583454967128e953"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S119" dT="2020-01-30T18:54:48.53" personId="{23E9C904-F645-4D7C-A421-10805B8ACA06}" id="{381B44A1-8B19-43B6-BBBA-D695F73831D0}">
    <text>Included in FICA</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ustomProperty" Target="../customProperty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39.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1.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customProperty" Target="../customProperty22.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4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4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4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4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customProperty" Target="../customProperty34.bin"/><Relationship Id="rId2" Type="http://schemas.openxmlformats.org/officeDocument/2006/relationships/customProperty" Target="../customProperty33.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customProperty" Target="../customProperty36.bin"/><Relationship Id="rId2" Type="http://schemas.openxmlformats.org/officeDocument/2006/relationships/customProperty" Target="../customProperty35.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customProperty" Target="../customProperty38.bin"/><Relationship Id="rId2" Type="http://schemas.openxmlformats.org/officeDocument/2006/relationships/customProperty" Target="../customProperty37.bin"/><Relationship Id="rId1" Type="http://schemas.openxmlformats.org/officeDocument/2006/relationships/printerSettings" Target="../printerSettings/printerSettings49.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ustomProperty" Target="../customProperty4.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39.bin"/><Relationship Id="rId1" Type="http://schemas.openxmlformats.org/officeDocument/2006/relationships/printerSettings" Target="../printerSettings/printerSettings50.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12" Type="http://schemas.openxmlformats.org/officeDocument/2006/relationships/customProperty" Target="../customProperty14.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11" Type="http://schemas.openxmlformats.org/officeDocument/2006/relationships/customProperty" Target="../customProperty13.bin"/><Relationship Id="rId5" Type="http://schemas.openxmlformats.org/officeDocument/2006/relationships/printerSettings" Target="../printerSettings/printerSettings21.bin"/><Relationship Id="rId10" Type="http://schemas.openxmlformats.org/officeDocument/2006/relationships/printerSettings" Target="../printerSettings/printerSettings26.bin"/><Relationship Id="rId4" Type="http://schemas.openxmlformats.org/officeDocument/2006/relationships/printerSettings" Target="../printerSettings/printerSettings20.bin"/><Relationship Id="rId9"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34.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customProperty" Target="../customProperty16.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customProperty" Target="../customProperty15.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7.bin"/><Relationship Id="rId7" Type="http://schemas.microsoft.com/office/2017/10/relationships/threadedComment" Target="../threadedComments/threadedComment1.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fitToPage="1"/>
  </sheetPr>
  <dimension ref="A1:H1086"/>
  <sheetViews>
    <sheetView showGridLines="0" tabSelected="1" zoomScale="75" zoomScaleNormal="75" zoomScaleSheetLayoutView="100" workbookViewId="0">
      <selection activeCell="C274" sqref="C274"/>
    </sheetView>
  </sheetViews>
  <sheetFormatPr defaultColWidth="9.28515625" defaultRowHeight="14.25"/>
  <cols>
    <col min="1" max="1" width="8.5703125" style="133" customWidth="1"/>
    <col min="2" max="2" width="4.5703125" style="46" customWidth="1"/>
    <col min="3" max="3" width="72.28515625" style="46" customWidth="1"/>
    <col min="4" max="4" width="39.85546875" style="46" customWidth="1"/>
    <col min="5" max="5" width="23.42578125" style="115" bestFit="1" customWidth="1"/>
    <col min="6" max="6" width="42.85546875" style="46" customWidth="1"/>
    <col min="7" max="7" width="36.42578125" style="46" customWidth="1"/>
    <col min="8" max="8" width="33.7109375" style="46" customWidth="1"/>
    <col min="9" max="16384" width="9.28515625" style="336"/>
  </cols>
  <sheetData>
    <row r="1" spans="1:8">
      <c r="H1" s="46" t="s">
        <v>1025</v>
      </c>
    </row>
    <row r="2" spans="1:8" ht="33.75" customHeight="1" thickBot="1">
      <c r="C2" s="542"/>
      <c r="D2" s="703"/>
      <c r="E2" s="703"/>
      <c r="F2" s="703"/>
      <c r="H2" s="637" t="s">
        <v>1026</v>
      </c>
    </row>
    <row r="3" spans="1:8" ht="30" customHeight="1" thickBot="1">
      <c r="A3" s="543" t="s">
        <v>0</v>
      </c>
      <c r="B3" s="544"/>
      <c r="C3" s="544"/>
      <c r="D3" s="704"/>
      <c r="E3" s="704"/>
      <c r="F3" s="705"/>
    </row>
    <row r="4" spans="1:8" ht="24.6" customHeight="1">
      <c r="A4" s="545" t="s">
        <v>1</v>
      </c>
      <c r="B4" s="546"/>
      <c r="C4" s="546"/>
      <c r="D4" s="547"/>
      <c r="E4" s="547"/>
      <c r="F4" s="548"/>
      <c r="H4" s="549" t="s">
        <v>974</v>
      </c>
    </row>
    <row r="5" spans="1:8" s="346" customFormat="1" ht="30.75" thickBot="1">
      <c r="A5" s="550" t="s">
        <v>2</v>
      </c>
      <c r="B5" s="551"/>
      <c r="C5" s="551"/>
      <c r="D5" s="551"/>
      <c r="E5" s="552" t="s">
        <v>3</v>
      </c>
      <c r="F5" s="553" t="s">
        <v>4</v>
      </c>
      <c r="G5" s="132"/>
      <c r="H5" s="554" t="s">
        <v>935</v>
      </c>
    </row>
    <row r="6" spans="1:8" s="346" customFormat="1" ht="23.25" customHeight="1">
      <c r="A6" s="116" t="s">
        <v>5</v>
      </c>
      <c r="B6" s="132"/>
      <c r="C6" s="132"/>
      <c r="D6" s="132"/>
      <c r="E6" s="44"/>
      <c r="F6" s="53"/>
      <c r="G6" s="132"/>
      <c r="H6" s="53"/>
    </row>
    <row r="7" spans="1:8" ht="15">
      <c r="A7" s="555" t="s">
        <v>6</v>
      </c>
      <c r="B7" s="556"/>
      <c r="C7" s="557"/>
      <c r="D7" s="557"/>
      <c r="E7" s="558"/>
      <c r="F7" s="557"/>
      <c r="G7" s="557"/>
      <c r="H7" s="559"/>
    </row>
    <row r="8" spans="1:8" ht="15">
      <c r="E8" s="44"/>
      <c r="H8" s="560"/>
    </row>
    <row r="9" spans="1:8" ht="15">
      <c r="A9" s="44"/>
      <c r="B9" s="132" t="s">
        <v>7</v>
      </c>
      <c r="E9" s="158"/>
      <c r="F9" s="122"/>
      <c r="G9" s="122"/>
      <c r="H9" s="122"/>
    </row>
    <row r="10" spans="1:8">
      <c r="A10" s="115">
        <v>1</v>
      </c>
      <c r="B10" s="115"/>
      <c r="C10" s="46" t="s">
        <v>8</v>
      </c>
      <c r="D10" s="561"/>
      <c r="E10" s="562"/>
      <c r="F10" s="122" t="str">
        <f>"(Attachment 4, Line "&amp;'4 - Cost Support'!$A$33&amp;")"</f>
        <v>(Attachment 4, Line 16)</v>
      </c>
      <c r="H10" s="122">
        <f>+'4 - Cost Support'!T33</f>
        <v>5245554</v>
      </c>
    </row>
    <row r="11" spans="1:8">
      <c r="A11" s="115"/>
    </row>
    <row r="12" spans="1:8">
      <c r="A12" s="115">
        <f>+A10+1</f>
        <v>2</v>
      </c>
      <c r="B12" s="115"/>
      <c r="C12" s="46" t="s">
        <v>9</v>
      </c>
      <c r="E12" s="562"/>
      <c r="F12" s="122" t="str">
        <f>"(Attachment 4, Line "&amp;'4 - Cost Support'!$A$31&amp;")"</f>
        <v>(Attachment 4, Line 14)</v>
      </c>
      <c r="H12" s="122">
        <f>+'4 - Cost Support'!T31</f>
        <v>36691634</v>
      </c>
    </row>
    <row r="13" spans="1:8">
      <c r="A13" s="115">
        <f>+A12+1</f>
        <v>3</v>
      </c>
      <c r="B13" s="115"/>
      <c r="C13" s="46" t="s">
        <v>10</v>
      </c>
      <c r="E13" s="562"/>
      <c r="F13" s="125" t="str">
        <f>"(Attachment 4, Line "&amp;'4 - Cost Support'!$A$32&amp;")"</f>
        <v>(Attachment 4, Line 15)</v>
      </c>
      <c r="H13" s="122">
        <f>+'4 - Cost Support'!T32</f>
        <v>3688542</v>
      </c>
    </row>
    <row r="14" spans="1:8">
      <c r="A14" s="115">
        <f>+A13+1</f>
        <v>4</v>
      </c>
      <c r="B14" s="115"/>
      <c r="C14" s="563" t="s">
        <v>11</v>
      </c>
      <c r="D14" s="564"/>
      <c r="E14" s="565"/>
      <c r="F14" s="564" t="str">
        <f>"(Line "&amp;A12&amp;" - Line "&amp;A13&amp;")"</f>
        <v>(Line 2 - Line 3)</v>
      </c>
      <c r="G14" s="563"/>
      <c r="H14" s="564">
        <f>H12-H13</f>
        <v>33003092</v>
      </c>
    </row>
    <row r="15" spans="1:8">
      <c r="A15" s="115"/>
      <c r="B15" s="115"/>
      <c r="E15" s="158"/>
      <c r="H15" s="122"/>
    </row>
    <row r="16" spans="1:8" ht="15.75" thickBot="1">
      <c r="A16" s="115">
        <v>5</v>
      </c>
      <c r="B16" s="566" t="s">
        <v>12</v>
      </c>
      <c r="C16" s="566"/>
      <c r="D16" s="567"/>
      <c r="E16" s="568"/>
      <c r="F16" s="569" t="str">
        <f>"(Line "&amp;A10&amp;" / Line "&amp;A14&amp;")"</f>
        <v>(Line 1 / Line 4)</v>
      </c>
      <c r="G16" s="567"/>
      <c r="H16" s="570">
        <f>H10/H14</f>
        <v>0.15894128950099584</v>
      </c>
    </row>
    <row r="17" spans="1:8" ht="15.75" thickTop="1">
      <c r="A17" s="115"/>
      <c r="B17" s="115"/>
      <c r="C17" s="132"/>
      <c r="E17" s="158"/>
      <c r="H17" s="571"/>
    </row>
    <row r="18" spans="1:8" ht="15">
      <c r="A18" s="115"/>
      <c r="B18" s="132" t="s">
        <v>13</v>
      </c>
    </row>
    <row r="19" spans="1:8">
      <c r="A19" s="115">
        <f>+A16+1</f>
        <v>6</v>
      </c>
      <c r="C19" s="46" t="s">
        <v>14</v>
      </c>
      <c r="E19" s="562" t="str">
        <f>"(Note "&amp;B$296&amp;")"</f>
        <v>(Note A)</v>
      </c>
      <c r="F19" s="122" t="str">
        <f>"(Attachment 4, Line "&amp;'4 - Cost Support'!A9&amp;")"</f>
        <v>(Attachment 4, Line 1)</v>
      </c>
      <c r="H19" s="122">
        <f>+'4 - Cost Support'!T9</f>
        <v>2424579695.9619231</v>
      </c>
    </row>
    <row r="20" spans="1:8">
      <c r="A20" s="115">
        <f>+A19+1</f>
        <v>7</v>
      </c>
      <c r="C20" s="572" t="s">
        <v>15</v>
      </c>
      <c r="D20" s="572"/>
      <c r="E20" s="573" t="str">
        <f>"(Note "&amp;B$296&amp;")"</f>
        <v>(Note A)</v>
      </c>
      <c r="F20" s="125" t="str">
        <f>"(Attachment 4, Line "&amp;'4 - Cost Support'!A11&amp;")"</f>
        <v>(Attachment 4, Line 3)</v>
      </c>
      <c r="G20" s="572"/>
      <c r="H20" s="125">
        <f>+'4 - Cost Support'!T11</f>
        <v>-1163276577.4615386</v>
      </c>
    </row>
    <row r="21" spans="1:8">
      <c r="A21" s="115">
        <f>+A20+1</f>
        <v>8</v>
      </c>
      <c r="C21" s="46" t="s">
        <v>16</v>
      </c>
      <c r="F21" s="122" t="str">
        <f>"(Line "&amp;A19&amp;" - Line "&amp;A20&amp;")"</f>
        <v>(Line 6 - Line 7)</v>
      </c>
      <c r="H21" s="122">
        <f>+H19+H20</f>
        <v>1261303118.5003846</v>
      </c>
    </row>
    <row r="22" spans="1:8">
      <c r="A22" s="115"/>
    </row>
    <row r="23" spans="1:8">
      <c r="A23" s="115">
        <f>+A21+1</f>
        <v>9</v>
      </c>
      <c r="C23" s="46" t="s">
        <v>17</v>
      </c>
      <c r="E23" s="562" t="str">
        <f>"(Note "&amp;B$296&amp;")"</f>
        <v>(Note A)</v>
      </c>
      <c r="F23" s="125" t="str">
        <f>"(Line "&amp;A42&amp;")"</f>
        <v>(Line 20)</v>
      </c>
      <c r="H23" s="574">
        <f>H42</f>
        <v>445302391.30208325</v>
      </c>
    </row>
    <row r="24" spans="1:8" ht="15.75" thickBot="1">
      <c r="A24" s="115">
        <f>+A23+1</f>
        <v>10</v>
      </c>
      <c r="B24" s="566" t="s">
        <v>18</v>
      </c>
      <c r="C24" s="566"/>
      <c r="D24" s="567"/>
      <c r="E24" s="575"/>
      <c r="F24" s="569" t="str">
        <f>"(Line "&amp;A23&amp;" / Line "&amp;A19&amp;")"</f>
        <v>(Line 9 / Line 6)</v>
      </c>
      <c r="G24" s="567"/>
      <c r="H24" s="570">
        <f>H23/H19</f>
        <v>0.18366168455659479</v>
      </c>
    </row>
    <row r="25" spans="1:8" ht="15" thickTop="1">
      <c r="A25" s="115"/>
    </row>
    <row r="26" spans="1:8">
      <c r="A26" s="115">
        <f>+A24+1</f>
        <v>11</v>
      </c>
      <c r="B26" s="115"/>
      <c r="C26" s="46" t="s">
        <v>19</v>
      </c>
      <c r="E26" s="562" t="str">
        <f>"(Note "&amp;B$296&amp;")"</f>
        <v>(Note A)</v>
      </c>
      <c r="F26" s="125" t="str">
        <f>"(Line "&amp;A57&amp;")"</f>
        <v>(Line 29)</v>
      </c>
      <c r="H26" s="204">
        <f>H57</f>
        <v>202231022.28177658</v>
      </c>
    </row>
    <row r="27" spans="1:8" ht="15.75" thickBot="1">
      <c r="A27" s="115">
        <f>+A26+1</f>
        <v>12</v>
      </c>
      <c r="B27" s="566" t="s">
        <v>20</v>
      </c>
      <c r="C27" s="566"/>
      <c r="D27" s="567"/>
      <c r="E27" s="575"/>
      <c r="F27" s="569" t="str">
        <f>"(Line "&amp;A26&amp;" / Line "&amp;A21&amp;")"</f>
        <v>(Line 11 / Line 8)</v>
      </c>
      <c r="G27" s="567"/>
      <c r="H27" s="570">
        <f>H26/H21</f>
        <v>0.16033498951641173</v>
      </c>
    </row>
    <row r="28" spans="1:8" ht="15.75" thickTop="1">
      <c r="A28" s="115"/>
      <c r="B28" s="132"/>
      <c r="C28" s="132"/>
      <c r="F28" s="122"/>
      <c r="H28" s="576"/>
    </row>
    <row r="29" spans="1:8" ht="15">
      <c r="A29" s="115"/>
      <c r="B29" s="132"/>
      <c r="F29" s="122"/>
      <c r="H29" s="576"/>
    </row>
    <row r="30" spans="1:8" ht="15">
      <c r="A30" s="555" t="s">
        <v>21</v>
      </c>
      <c r="B30" s="556"/>
      <c r="C30" s="557"/>
      <c r="D30" s="557"/>
      <c r="E30" s="558"/>
      <c r="F30" s="557"/>
      <c r="G30" s="557"/>
      <c r="H30" s="559"/>
    </row>
    <row r="31" spans="1:8" ht="15">
      <c r="A31" s="577"/>
      <c r="B31" s="578"/>
      <c r="E31" s="44"/>
      <c r="H31" s="357"/>
    </row>
    <row r="32" spans="1:8" ht="15">
      <c r="A32" s="115"/>
      <c r="B32" s="132" t="s">
        <v>22</v>
      </c>
      <c r="E32" s="158"/>
      <c r="F32" s="122"/>
      <c r="G32" s="44"/>
      <c r="H32" s="122"/>
    </row>
    <row r="33" spans="1:8">
      <c r="A33" s="115">
        <f>+A27+1</f>
        <v>13</v>
      </c>
      <c r="B33" s="115"/>
      <c r="C33" s="46" t="s">
        <v>23</v>
      </c>
      <c r="E33" s="562" t="str">
        <f>"(Note "&amp;B$296&amp;" &amp; "&amp;B305&amp;")"</f>
        <v>(Note A &amp; J)</v>
      </c>
      <c r="F33" s="122" t="str">
        <f>"(Attachment 4, Line "&amp;'4 - Cost Support'!A17&amp;")"</f>
        <v>(Attachment 4, Line 7)</v>
      </c>
      <c r="H33" s="122">
        <f>+'4 - Cost Support'!T17</f>
        <v>434260783.35384619</v>
      </c>
    </row>
    <row r="34" spans="1:8">
      <c r="A34" s="115"/>
      <c r="B34" s="115"/>
      <c r="F34" s="122"/>
      <c r="H34" s="122"/>
    </row>
    <row r="35" spans="1:8">
      <c r="A35" s="115">
        <f>+A33+1</f>
        <v>14</v>
      </c>
      <c r="B35" s="115"/>
      <c r="C35" s="46" t="s">
        <v>24</v>
      </c>
      <c r="E35" s="562" t="str">
        <f>"(Note "&amp;B$296&amp;")"</f>
        <v>(Note A)</v>
      </c>
      <c r="F35" s="122" t="str">
        <f>"(Attachment 4, Line "&amp;'4 - Cost Support'!A18&amp;")"</f>
        <v>(Attachment 4, Line 8)</v>
      </c>
      <c r="H35" s="122">
        <f>+'4 - Cost Support'!T18</f>
        <v>31441126.741538461</v>
      </c>
    </row>
    <row r="36" spans="1:8">
      <c r="A36" s="115">
        <f>A35+1</f>
        <v>15</v>
      </c>
      <c r="B36" s="115"/>
      <c r="C36" s="46" t="s">
        <v>25</v>
      </c>
      <c r="E36" s="562" t="str">
        <f>"(Note "&amp;B$296&amp;")"</f>
        <v>(Note A)</v>
      </c>
      <c r="F36" s="122" t="str">
        <f>"(Attachment 4, Line "&amp;'4 - Cost Support'!A19&amp;")"</f>
        <v>(Attachment 4, Line 9)</v>
      </c>
      <c r="H36" s="122">
        <f>+'4 - Cost Support'!T19</f>
        <v>38028599.991538458</v>
      </c>
    </row>
    <row r="37" spans="1:8">
      <c r="A37" s="115">
        <f>A36+1</f>
        <v>16</v>
      </c>
      <c r="B37" s="115"/>
      <c r="C37" s="46" t="s">
        <v>26</v>
      </c>
      <c r="E37" s="562" t="str">
        <f>"(Note "&amp;B$296&amp;")"</f>
        <v>(Note A)</v>
      </c>
      <c r="F37" s="125" t="str">
        <f>"(Attachment 4, Line "&amp;'4 - Cost Support'!A20&amp;")"</f>
        <v>(Attachment 4, Line 10)</v>
      </c>
      <c r="H37" s="122">
        <f>+'4 - Cost Support'!T20</f>
        <v>0</v>
      </c>
    </row>
    <row r="38" spans="1:8">
      <c r="A38" s="115">
        <f>A37+1</f>
        <v>17</v>
      </c>
      <c r="B38" s="115"/>
      <c r="C38" s="563" t="s">
        <v>27</v>
      </c>
      <c r="D38" s="563"/>
      <c r="E38" s="579"/>
      <c r="F38" s="122" t="str">
        <f>"(Line "&amp;A35&amp;" + Line "&amp;A36&amp;" + Line "&amp;A37&amp;")"</f>
        <v>(Line 14 + Line 15 + Line 16)</v>
      </c>
      <c r="G38" s="563"/>
      <c r="H38" s="564">
        <f>SUM(H35:H37)</f>
        <v>69469726.733076915</v>
      </c>
    </row>
    <row r="39" spans="1:8" ht="15">
      <c r="A39" s="115">
        <f>+A38+1</f>
        <v>18</v>
      </c>
      <c r="B39" s="115"/>
      <c r="C39" s="133" t="s">
        <v>28</v>
      </c>
      <c r="E39" s="158"/>
      <c r="F39" s="125" t="str">
        <f>"(Line "&amp;A$16&amp;")"</f>
        <v>(Line 5)</v>
      </c>
      <c r="G39" s="304"/>
      <c r="H39" s="580">
        <f>H16</f>
        <v>0.15894128950099584</v>
      </c>
    </row>
    <row r="40" spans="1:8">
      <c r="A40" s="115">
        <f>A39+1</f>
        <v>19</v>
      </c>
      <c r="C40" s="563" t="s">
        <v>29</v>
      </c>
      <c r="D40" s="563"/>
      <c r="E40" s="565"/>
      <c r="F40" s="122" t="str">
        <f>"(Line "&amp;A38&amp;" * Line "&amp;A39&amp;")"</f>
        <v>(Line 17 * Line 18)</v>
      </c>
      <c r="G40" s="563"/>
      <c r="H40" s="581">
        <f>+H38*H39</f>
        <v>11041607.948237048</v>
      </c>
    </row>
    <row r="41" spans="1:8" ht="15">
      <c r="A41" s="115"/>
      <c r="C41" s="132"/>
      <c r="H41" s="204"/>
    </row>
    <row r="42" spans="1:8" s="346" customFormat="1" ht="15.75" thickBot="1">
      <c r="A42" s="115">
        <f>+A40+1</f>
        <v>20</v>
      </c>
      <c r="B42" s="566" t="s">
        <v>30</v>
      </c>
      <c r="C42" s="566"/>
      <c r="D42" s="566"/>
      <c r="E42" s="582"/>
      <c r="F42" s="569" t="str">
        <f>"(Line "&amp;A33&amp;" + Line "&amp;A40&amp;")"</f>
        <v>(Line 13 + Line 19)</v>
      </c>
      <c r="G42" s="566"/>
      <c r="H42" s="583">
        <f>+H33+H40</f>
        <v>445302391.30208325</v>
      </c>
    </row>
    <row r="43" spans="1:8" ht="15" thickTop="1">
      <c r="A43" s="115"/>
    </row>
    <row r="44" spans="1:8" ht="15">
      <c r="A44" s="115"/>
      <c r="B44" s="132" t="s">
        <v>31</v>
      </c>
      <c r="C44" s="132"/>
      <c r="D44" s="122"/>
      <c r="E44" s="562"/>
      <c r="F44" s="122"/>
      <c r="G44" s="584"/>
      <c r="H44" s="122"/>
    </row>
    <row r="45" spans="1:8">
      <c r="A45" s="115"/>
      <c r="F45" s="122"/>
      <c r="G45" s="122"/>
      <c r="H45" s="122"/>
    </row>
    <row r="46" spans="1:8">
      <c r="A46" s="115">
        <f>+A42+1</f>
        <v>21</v>
      </c>
      <c r="B46" s="115"/>
      <c r="C46" s="46" t="s">
        <v>32</v>
      </c>
      <c r="E46" s="562" t="str">
        <f>"(Note "&amp;B$296&amp;")"</f>
        <v>(Note A)</v>
      </c>
      <c r="F46" s="122" t="str">
        <f>"(Attachment 4, Line "&amp;'4 - Cost Support'!A23&amp;")"</f>
        <v>(Attachment 4, Line 11)</v>
      </c>
      <c r="H46" s="122">
        <f>+'4 - Cost Support'!T23</f>
        <v>-235835682.61538461</v>
      </c>
    </row>
    <row r="47" spans="1:8">
      <c r="A47" s="115"/>
      <c r="B47" s="115"/>
      <c r="E47" s="562"/>
      <c r="F47" s="122"/>
      <c r="H47" s="122"/>
    </row>
    <row r="48" spans="1:8">
      <c r="A48" s="115">
        <f>A46+1</f>
        <v>22</v>
      </c>
      <c r="B48" s="115"/>
      <c r="C48" s="46" t="s">
        <v>33</v>
      </c>
      <c r="E48" s="562" t="str">
        <f>"(Note "&amp;B$296&amp;")"</f>
        <v>(Note A)</v>
      </c>
      <c r="F48" s="122" t="str">
        <f>"(Attachment 4, Line "&amp;'4 - Cost Support'!A24&amp;")"</f>
        <v>(Attachment 4, Line 12)</v>
      </c>
      <c r="H48" s="122">
        <f>+'4 - Cost Support'!T24</f>
        <v>-18919548.46153846</v>
      </c>
    </row>
    <row r="49" spans="1:8">
      <c r="A49" s="115">
        <f>+A48+1</f>
        <v>23</v>
      </c>
      <c r="B49" s="115"/>
      <c r="C49" s="46" t="s">
        <v>34</v>
      </c>
      <c r="E49" s="562" t="str">
        <f>"(Note "&amp;B$296&amp;")"</f>
        <v>(Note A)</v>
      </c>
      <c r="F49" s="122" t="str">
        <f>"(Attachment 4, Line "&amp;'4 - Cost Support'!A12&amp;")"</f>
        <v>(Attachment 4, Line 4)</v>
      </c>
      <c r="H49" s="122">
        <f>+'4 - Cost Support'!T12</f>
        <v>-26604722.969999995</v>
      </c>
    </row>
    <row r="50" spans="1:8">
      <c r="A50" s="115">
        <f>+A49+1</f>
        <v>24</v>
      </c>
      <c r="B50" s="115"/>
      <c r="C50" s="572" t="s">
        <v>35</v>
      </c>
      <c r="D50" s="572"/>
      <c r="E50" s="573" t="str">
        <f>"(Note "&amp;B$296&amp;")"</f>
        <v>(Note A)</v>
      </c>
      <c r="F50" s="125" t="str">
        <f>"(Attachment 4, Line "&amp;'4 - Cost Support'!A25&amp;")"</f>
        <v>(Attachment 4, Line 13)</v>
      </c>
      <c r="G50" s="572"/>
      <c r="H50" s="125">
        <f>+'4 - Cost Support'!T25</f>
        <v>0</v>
      </c>
    </row>
    <row r="51" spans="1:8">
      <c r="A51" s="115">
        <f>+A50+1</f>
        <v>25</v>
      </c>
      <c r="B51" s="115"/>
      <c r="C51" s="46" t="s">
        <v>36</v>
      </c>
      <c r="E51" s="158"/>
      <c r="F51" s="122" t="str">
        <f>"(Line "&amp;A48&amp;" + "&amp;A49&amp;" + "&amp;A50&amp;")"</f>
        <v>(Line 22 + 23 + 24)</v>
      </c>
      <c r="G51" s="122"/>
      <c r="H51" s="122">
        <f>+H48+H50+H49</f>
        <v>-45524271.431538455</v>
      </c>
    </row>
    <row r="52" spans="1:8">
      <c r="A52" s="115">
        <f>+A51+1</f>
        <v>26</v>
      </c>
      <c r="B52" s="115"/>
      <c r="C52" s="46" t="str">
        <f>+C39</f>
        <v>Wage &amp; Salary Allocator</v>
      </c>
      <c r="E52" s="158"/>
      <c r="F52" s="125" t="str">
        <f>"(Line "&amp;A$16&amp;")"</f>
        <v>(Line 5)</v>
      </c>
      <c r="G52" s="122"/>
      <c r="H52" s="585">
        <f>H16</f>
        <v>0.15894128950099584</v>
      </c>
    </row>
    <row r="53" spans="1:8">
      <c r="A53" s="115">
        <f>+A52+1</f>
        <v>27</v>
      </c>
      <c r="C53" s="563" t="s">
        <v>37</v>
      </c>
      <c r="D53" s="563"/>
      <c r="E53" s="579"/>
      <c r="F53" s="122" t="str">
        <f>"(Line "&amp;A51&amp;" * Line "&amp;A52&amp;")"</f>
        <v>(Line 25 * Line 26)</v>
      </c>
      <c r="G53" s="563"/>
      <c r="H53" s="581">
        <f>H51*H52</f>
        <v>-7235686.4049220681</v>
      </c>
    </row>
    <row r="54" spans="1:8">
      <c r="A54" s="115"/>
      <c r="F54" s="115"/>
      <c r="G54" s="115"/>
      <c r="H54" s="204"/>
    </row>
    <row r="55" spans="1:8" ht="15.75" thickBot="1">
      <c r="A55" s="115">
        <f>+A53+1</f>
        <v>28</v>
      </c>
      <c r="B55" s="566" t="s">
        <v>38</v>
      </c>
      <c r="C55" s="566"/>
      <c r="D55" s="566"/>
      <c r="E55" s="582"/>
      <c r="F55" s="586" t="str">
        <f>"(Lines "&amp;A46&amp;" + "&amp;A53&amp;")"</f>
        <v>(Lines 21 + 27)</v>
      </c>
      <c r="G55" s="587"/>
      <c r="H55" s="583">
        <f>+H46+H53</f>
        <v>-243071369.02030668</v>
      </c>
    </row>
    <row r="56" spans="1:8" ht="15" thickTop="1">
      <c r="A56" s="115"/>
      <c r="H56" s="207"/>
    </row>
    <row r="57" spans="1:8" ht="15.75" thickBot="1">
      <c r="A57" s="115">
        <f>+A55+1</f>
        <v>29</v>
      </c>
      <c r="B57" s="566" t="s">
        <v>39</v>
      </c>
      <c r="C57" s="566"/>
      <c r="D57" s="566"/>
      <c r="E57" s="582"/>
      <c r="F57" s="569" t="str">
        <f>"(Line "&amp;A42&amp;" - Line "&amp;A55&amp;")"</f>
        <v>(Line 20 - Line 28)</v>
      </c>
      <c r="G57" s="566"/>
      <c r="H57" s="583">
        <f>H42+H55</f>
        <v>202231022.28177658</v>
      </c>
    </row>
    <row r="58" spans="1:8" ht="15" thickTop="1">
      <c r="A58" s="115"/>
    </row>
    <row r="59" spans="1:8" ht="15">
      <c r="A59" s="555" t="s">
        <v>40</v>
      </c>
      <c r="B59" s="557"/>
      <c r="C59" s="557"/>
      <c r="D59" s="557"/>
      <c r="E59" s="558"/>
      <c r="F59" s="557"/>
      <c r="G59" s="557"/>
      <c r="H59" s="557"/>
    </row>
    <row r="60" spans="1:8" ht="15">
      <c r="A60" s="588"/>
      <c r="B60" s="589"/>
      <c r="C60" s="589"/>
      <c r="D60" s="589"/>
      <c r="H60" s="560"/>
    </row>
    <row r="61" spans="1:8" ht="15">
      <c r="A61" s="115"/>
      <c r="B61" s="116" t="s">
        <v>41</v>
      </c>
      <c r="E61" s="207"/>
      <c r="H61" s="122"/>
    </row>
    <row r="62" spans="1:8" ht="15">
      <c r="A62" s="115">
        <f>+A57+1</f>
        <v>30</v>
      </c>
      <c r="B62" s="116"/>
      <c r="C62" s="132" t="s">
        <v>42</v>
      </c>
      <c r="D62" s="207"/>
      <c r="E62" s="562" t="str">
        <f>"(Notes "&amp;B$307&amp;" and "&amp;B311&amp;")"</f>
        <v>(Notes L and P)</v>
      </c>
      <c r="F62" s="590" t="str">
        <f>"(Attachment 1D, Line "&amp;'1A - ADIT'!A19&amp;")"</f>
        <v>(Attachment 1D, Line 11)</v>
      </c>
      <c r="H62" s="204">
        <f>+'1D - ADIT True-up'!H22</f>
        <v>-30958957.31358045</v>
      </c>
    </row>
    <row r="63" spans="1:8" ht="15">
      <c r="A63" s="115"/>
      <c r="C63" s="116"/>
      <c r="H63" s="204"/>
    </row>
    <row r="64" spans="1:8" ht="15">
      <c r="A64" s="115"/>
      <c r="B64" s="116" t="s">
        <v>41</v>
      </c>
      <c r="H64" s="204"/>
    </row>
    <row r="65" spans="1:8" ht="15">
      <c r="A65" s="115">
        <f>+A62+1</f>
        <v>31</v>
      </c>
      <c r="B65" s="116"/>
      <c r="C65" s="132" t="s">
        <v>43</v>
      </c>
      <c r="E65" s="562" t="str">
        <f>"(Note "&amp;B307&amp;" and "&amp;B309&amp;")"</f>
        <v>(Note L and N)</v>
      </c>
      <c r="F65" s="122" t="str">
        <f>"(Attachment 4, Line "&amp;'4 - Cost Support'!A203&amp;")"</f>
        <v>(Attachment 4, Line 78)</v>
      </c>
      <c r="H65" s="204">
        <f>+'4 - Cost Support'!T203</f>
        <v>-32619056.170353778</v>
      </c>
    </row>
    <row r="66" spans="1:8" ht="15">
      <c r="A66" s="115"/>
      <c r="B66" s="116"/>
      <c r="C66" s="132"/>
      <c r="E66" s="562"/>
      <c r="H66" s="204"/>
    </row>
    <row r="67" spans="1:8" ht="15">
      <c r="A67" s="115"/>
      <c r="B67" s="132" t="s">
        <v>44</v>
      </c>
      <c r="E67" s="46"/>
    </row>
    <row r="68" spans="1:8" ht="15">
      <c r="A68" s="115">
        <f>+A65+1</f>
        <v>32</v>
      </c>
      <c r="B68" s="44"/>
      <c r="C68" s="46" t="s">
        <v>45</v>
      </c>
      <c r="D68" s="562"/>
      <c r="E68" s="562" t="str">
        <f>"(Note "&amp;B$296&amp;" &amp; "&amp;B$301&amp;")"</f>
        <v>(Note A &amp; F)</v>
      </c>
      <c r="F68" s="122" t="str">
        <f>"(Attachment 5, Line "&amp;'5 - CWIP in Rate Base'!A35&amp;")"</f>
        <v>(Attachment 5, Line 25)</v>
      </c>
      <c r="H68" s="122">
        <f>+'5 - CWIP in Rate Base'!S35</f>
        <v>16603455.943076923</v>
      </c>
    </row>
    <row r="69" spans="1:8" ht="15">
      <c r="A69" s="115"/>
      <c r="B69" s="44"/>
      <c r="D69" s="562"/>
      <c r="E69" s="562"/>
      <c r="F69" s="133"/>
      <c r="H69" s="122"/>
    </row>
    <row r="70" spans="1:8" s="6" customFormat="1" ht="15">
      <c r="A70" s="115"/>
      <c r="B70" s="132" t="s">
        <v>46</v>
      </c>
      <c r="C70" s="46"/>
      <c r="D70" s="46"/>
      <c r="E70" s="46"/>
      <c r="F70" s="46"/>
      <c r="G70" s="46"/>
      <c r="H70" s="46"/>
    </row>
    <row r="71" spans="1:8" s="6" customFormat="1" ht="15">
      <c r="A71" s="115">
        <f>+A68+1</f>
        <v>33</v>
      </c>
      <c r="B71" s="44"/>
      <c r="C71" s="46" t="s">
        <v>47</v>
      </c>
      <c r="D71" s="562"/>
      <c r="E71" s="562" t="str">
        <f>"(Note "&amp;B296&amp;" and "&amp;B$308&amp;")"</f>
        <v>(Note A and M)</v>
      </c>
      <c r="F71" s="122" t="str">
        <f>"(Attachment 4, Line "&amp;'4 - Cost Support'!A195&amp;")"</f>
        <v>(Attachment 4, Line 77)</v>
      </c>
      <c r="G71" s="46"/>
      <c r="H71" s="122">
        <f>+'4 - Cost Support'!K195</f>
        <v>0</v>
      </c>
    </row>
    <row r="72" spans="1:8">
      <c r="A72" s="115"/>
      <c r="B72" s="115"/>
      <c r="D72" s="562"/>
      <c r="E72" s="133"/>
      <c r="G72" s="122"/>
    </row>
    <row r="73" spans="1:8" ht="15">
      <c r="A73" s="115">
        <f>+A71+1</f>
        <v>34</v>
      </c>
      <c r="B73" s="132" t="s">
        <v>48</v>
      </c>
      <c r="D73" s="591"/>
      <c r="E73" s="562" t="str">
        <f>"(Note "&amp;B$297&amp;" &amp; "&amp;B$307&amp;")"</f>
        <v>(Note B &amp; L)</v>
      </c>
      <c r="F73" s="122" t="str">
        <f>"(Attachment 4, Line "&amp;'4 - Cost Support'!A40&amp;")"</f>
        <v>(Attachment 4, Line 17)</v>
      </c>
      <c r="H73" s="122">
        <f>+'4 - Cost Support'!T40</f>
        <v>42369</v>
      </c>
    </row>
    <row r="74" spans="1:8">
      <c r="A74" s="115"/>
      <c r="B74" s="115"/>
      <c r="D74" s="562"/>
      <c r="E74" s="133"/>
      <c r="G74" s="122"/>
    </row>
    <row r="75" spans="1:8" ht="15">
      <c r="A75" s="115"/>
      <c r="B75" s="116" t="s">
        <v>49</v>
      </c>
      <c r="C75" s="133"/>
      <c r="F75" s="592"/>
      <c r="G75" s="593"/>
    </row>
    <row r="76" spans="1:8" ht="15">
      <c r="A76" s="115">
        <f>+A73+1</f>
        <v>35</v>
      </c>
      <c r="B76" s="594"/>
      <c r="C76" s="133" t="s">
        <v>50</v>
      </c>
      <c r="D76" s="562"/>
      <c r="E76" s="562" t="str">
        <f>"(Note "&amp;B$296&amp;")"</f>
        <v>(Note A)</v>
      </c>
      <c r="F76" s="122" t="str">
        <f>"(Attachment 4, Line "&amp;'4 - Cost Support'!A51&amp;")"</f>
        <v>(Attachment 4, Line 22)</v>
      </c>
      <c r="G76" s="593"/>
      <c r="H76" s="204">
        <f>+'4 - Cost Support'!T51</f>
        <v>7863209.9861538485</v>
      </c>
    </row>
    <row r="77" spans="1:8" ht="15">
      <c r="A77" s="115">
        <f>+A76+1</f>
        <v>36</v>
      </c>
      <c r="B77" s="594"/>
      <c r="C77" s="595" t="s">
        <v>28</v>
      </c>
      <c r="D77" s="595"/>
      <c r="E77" s="596"/>
      <c r="F77" s="125" t="str">
        <f>"(Line "&amp;A$16&amp;")"</f>
        <v>(Line 5)</v>
      </c>
      <c r="G77" s="597"/>
      <c r="H77" s="580">
        <f>+H16</f>
        <v>0.15894128950099584</v>
      </c>
    </row>
    <row r="78" spans="1:8" ht="15">
      <c r="A78" s="115">
        <f>+A77+1</f>
        <v>37</v>
      </c>
      <c r="B78" s="594"/>
      <c r="C78" s="133" t="s">
        <v>51</v>
      </c>
      <c r="F78" s="122" t="str">
        <f>"(Line "&amp;A76&amp;" * Line "&amp;A77&amp;")"</f>
        <v>(Line 35 * Line 36)</v>
      </c>
      <c r="G78" s="593"/>
      <c r="H78" s="581">
        <f>H76*H77</f>
        <v>1249788.7348164003</v>
      </c>
    </row>
    <row r="79" spans="1:8">
      <c r="A79" s="115"/>
      <c r="B79" s="207"/>
      <c r="C79" s="133"/>
      <c r="F79" s="593"/>
      <c r="G79" s="593"/>
      <c r="H79" s="598"/>
    </row>
    <row r="80" spans="1:8" ht="15">
      <c r="A80" s="115"/>
      <c r="B80" s="116" t="s">
        <v>52</v>
      </c>
      <c r="E80" s="599"/>
      <c r="F80" s="593"/>
      <c r="G80" s="593"/>
      <c r="H80" s="598"/>
    </row>
    <row r="81" spans="1:8">
      <c r="A81" s="115">
        <f>+A78+1</f>
        <v>38</v>
      </c>
      <c r="C81" s="46" t="s">
        <v>53</v>
      </c>
      <c r="E81" s="562" t="str">
        <f>"(Note "&amp;B$296&amp;")"</f>
        <v>(Note A)</v>
      </c>
      <c r="F81" s="122" t="str">
        <f>"(Attachment 4, Line "&amp;'4 - Cost Support'!A59&amp;")"</f>
        <v>(Attachment 4, Line 23)</v>
      </c>
      <c r="H81" s="122">
        <f>+'4 - Cost Support'!T59</f>
        <v>-212037.30769230769</v>
      </c>
    </row>
    <row r="82" spans="1:8">
      <c r="A82" s="115">
        <f>+A81+1</f>
        <v>39</v>
      </c>
      <c r="B82" s="207"/>
      <c r="C82" s="595" t="s">
        <v>28</v>
      </c>
      <c r="D82" s="595"/>
      <c r="E82" s="596"/>
      <c r="F82" s="125" t="str">
        <f>"(Line "&amp;A$16&amp;")"</f>
        <v>(Line 5)</v>
      </c>
      <c r="G82" s="597"/>
      <c r="H82" s="580">
        <f>H16</f>
        <v>0.15894128950099584</v>
      </c>
    </row>
    <row r="83" spans="1:8">
      <c r="A83" s="115">
        <f>+A82+1</f>
        <v>40</v>
      </c>
      <c r="B83" s="207"/>
      <c r="C83" s="133" t="s">
        <v>54</v>
      </c>
      <c r="F83" s="122" t="str">
        <f>"(Line "&amp;A81&amp;" * Line "&amp;A82&amp;")"</f>
        <v>(Line 38 * Line 39)</v>
      </c>
      <c r="G83" s="593"/>
      <c r="H83" s="581">
        <f>H81*H82</f>
        <v>-33701.483106934807</v>
      </c>
    </row>
    <row r="84" spans="1:8">
      <c r="A84" s="115"/>
      <c r="B84" s="207"/>
      <c r="C84" s="133" t="s">
        <v>790</v>
      </c>
      <c r="E84" s="562" t="str">
        <f>"(Note "&amp;B$296&amp;" &amp; "&amp;B315&amp;")"</f>
        <v>(Note A &amp; T)</v>
      </c>
      <c r="F84" s="122" t="str">
        <f>"(Attachment 4, Line "&amp;'4 - Cost Support'!A61&amp;")"</f>
        <v>(Attachment 4, Line 25)</v>
      </c>
      <c r="G84" s="593"/>
      <c r="H84" s="204">
        <f>+'4 - Cost Support'!T61</f>
        <v>632463.23076923075</v>
      </c>
    </row>
    <row r="85" spans="1:8">
      <c r="A85" s="115">
        <f>A83+1</f>
        <v>41</v>
      </c>
      <c r="B85" s="207"/>
      <c r="C85" s="133" t="s">
        <v>224</v>
      </c>
      <c r="E85" s="562" t="str">
        <f>"(Note  "&amp;B$296&amp;" )"</f>
        <v>(Note  A )</v>
      </c>
      <c r="F85" s="125" t="str">
        <f>"(Attachment 4, Line "&amp;'4 - Cost Support'!A60&amp;")"</f>
        <v>(Attachment 4, Line 24)</v>
      </c>
      <c r="G85" s="593"/>
      <c r="H85" s="600">
        <f>+'4 - Cost Support'!T60</f>
        <v>145324.15384615384</v>
      </c>
    </row>
    <row r="86" spans="1:8" ht="27.75" customHeight="1">
      <c r="A86" s="115">
        <f>A85+1</f>
        <v>42</v>
      </c>
      <c r="B86" s="207"/>
      <c r="C86" s="563" t="s">
        <v>56</v>
      </c>
      <c r="D86" s="563"/>
      <c r="E86" s="579"/>
      <c r="F86" s="122" t="str">
        <f>"(Line "&amp;A83&amp;" + Line "&amp;A85&amp;")"</f>
        <v>(Line 40 + Line 41)</v>
      </c>
      <c r="G86" s="601"/>
      <c r="H86" s="204">
        <f>H83+H84+H85</f>
        <v>744085.90150844981</v>
      </c>
    </row>
    <row r="87" spans="1:8" ht="27.75" customHeight="1">
      <c r="A87" s="115"/>
      <c r="B87" s="207"/>
      <c r="F87" s="122"/>
      <c r="G87" s="593"/>
      <c r="H87" s="122"/>
    </row>
    <row r="88" spans="1:8" ht="15">
      <c r="A88" s="115"/>
      <c r="B88" s="116" t="s">
        <v>57</v>
      </c>
      <c r="F88" s="593"/>
      <c r="G88" s="593"/>
    </row>
    <row r="89" spans="1:8">
      <c r="A89" s="115">
        <f>+A86+1</f>
        <v>43</v>
      </c>
      <c r="B89" s="207"/>
      <c r="C89" s="133" t="s">
        <v>58</v>
      </c>
      <c r="D89" s="133"/>
      <c r="F89" s="122" t="str">
        <f>"(Line "&amp;A$144&amp;")"</f>
        <v>(Line 78)</v>
      </c>
      <c r="G89" s="593"/>
      <c r="H89" s="204">
        <f>H144</f>
        <v>15781801.695075115</v>
      </c>
    </row>
    <row r="90" spans="1:8">
      <c r="A90" s="115">
        <f>+A89+1</f>
        <v>44</v>
      </c>
      <c r="B90" s="207"/>
      <c r="C90" s="133" t="s">
        <v>781</v>
      </c>
      <c r="D90" s="133"/>
      <c r="F90" s="595"/>
      <c r="H90" s="602">
        <v>0</v>
      </c>
    </row>
    <row r="91" spans="1:8" s="346" customFormat="1" ht="15">
      <c r="A91" s="115">
        <f>+A90+1</f>
        <v>45</v>
      </c>
      <c r="B91" s="304"/>
      <c r="C91" s="603" t="s">
        <v>59</v>
      </c>
      <c r="D91" s="603"/>
      <c r="E91" s="604"/>
      <c r="F91" s="122" t="str">
        <f>"(Line "&amp;A89&amp;" * Line "&amp;A90&amp;")"</f>
        <v>(Line 43 * Line 44)</v>
      </c>
      <c r="G91" s="605"/>
      <c r="H91" s="204">
        <f>H89*H90</f>
        <v>0</v>
      </c>
    </row>
    <row r="92" spans="1:8" s="346" customFormat="1" ht="15">
      <c r="A92" s="115"/>
      <c r="B92" s="304"/>
      <c r="C92" s="133"/>
      <c r="D92" s="133"/>
      <c r="E92" s="44"/>
      <c r="F92" s="122"/>
      <c r="G92" s="132"/>
      <c r="H92" s="204"/>
    </row>
    <row r="93" spans="1:8" s="346" customFormat="1" ht="15">
      <c r="A93" s="115"/>
      <c r="B93" s="116" t="s">
        <v>60</v>
      </c>
      <c r="C93" s="133"/>
      <c r="D93" s="133"/>
      <c r="E93" s="44"/>
      <c r="F93" s="122"/>
      <c r="G93" s="132"/>
      <c r="H93" s="204"/>
    </row>
    <row r="94" spans="1:8" s="346" customFormat="1" ht="15">
      <c r="A94" s="115">
        <f>+A91+1</f>
        <v>46</v>
      </c>
      <c r="B94" s="304"/>
      <c r="C94" s="133" t="s">
        <v>61</v>
      </c>
      <c r="D94" s="133"/>
      <c r="E94" s="562" t="str">
        <f>"(Note  "&amp;B$296&amp;")"</f>
        <v>(Note  A)</v>
      </c>
      <c r="F94" s="122" t="str">
        <f>"(Attachment 4, Line "&amp;'4 - Cost Support'!A212&amp;")"</f>
        <v>(Attachment 4, Line 79)</v>
      </c>
      <c r="G94" s="132"/>
      <c r="H94" s="204">
        <f>+'4 - Cost Support'!T212</f>
        <v>0</v>
      </c>
    </row>
    <row r="95" spans="1:8" s="346" customFormat="1" ht="15">
      <c r="A95" s="115">
        <f>+A94+1</f>
        <v>47</v>
      </c>
      <c r="B95" s="304"/>
      <c r="C95" s="595" t="s">
        <v>20</v>
      </c>
      <c r="D95" s="595"/>
      <c r="E95" s="606"/>
      <c r="F95" s="125" t="str">
        <f>"(Line "&amp;A$27&amp;")"</f>
        <v>(Line 12)</v>
      </c>
      <c r="G95" s="607"/>
      <c r="H95" s="608">
        <f>+H27</f>
        <v>0.16033498951641173</v>
      </c>
    </row>
    <row r="96" spans="1:8" s="346" customFormat="1" ht="15">
      <c r="A96" s="115">
        <f>+A95+1</f>
        <v>48</v>
      </c>
      <c r="B96" s="304"/>
      <c r="C96" s="133" t="s">
        <v>62</v>
      </c>
      <c r="D96" s="133"/>
      <c r="E96" s="44"/>
      <c r="F96" s="122" t="str">
        <f>"(Line "&amp;A94&amp;" * Line "&amp;A95&amp;")"</f>
        <v>(Line 46 * Line 47)</v>
      </c>
      <c r="G96" s="132"/>
      <c r="H96" s="204">
        <f>+H94*H95</f>
        <v>0</v>
      </c>
    </row>
    <row r="97" spans="1:8" s="346" customFormat="1" ht="15">
      <c r="A97" s="115"/>
      <c r="B97" s="304"/>
      <c r="C97" s="133"/>
      <c r="D97" s="133"/>
      <c r="E97" s="44"/>
      <c r="F97" s="122"/>
      <c r="G97" s="132"/>
      <c r="H97" s="204"/>
    </row>
    <row r="98" spans="1:8" s="346" customFormat="1" ht="15">
      <c r="A98" s="115">
        <f>+A96+1</f>
        <v>49</v>
      </c>
      <c r="B98" s="304"/>
      <c r="C98" s="133" t="s">
        <v>63</v>
      </c>
      <c r="D98" s="133"/>
      <c r="E98" s="562" t="str">
        <f>"(Note  "&amp;B$296&amp;")"</f>
        <v>(Note  A)</v>
      </c>
      <c r="F98" s="122" t="str">
        <f>"(Attachment 4, Line "&amp;'4 - Cost Support'!A213&amp;")"</f>
        <v>(Attachment 4, Line 80)</v>
      </c>
      <c r="G98" s="132"/>
      <c r="H98" s="204">
        <f>+'4 - Cost Support'!T213</f>
        <v>-1378201.076923077</v>
      </c>
    </row>
    <row r="99" spans="1:8" s="346" customFormat="1" ht="15">
      <c r="A99" s="115">
        <f>+A98+1</f>
        <v>50</v>
      </c>
      <c r="B99" s="304"/>
      <c r="C99" s="133" t="s">
        <v>782</v>
      </c>
      <c r="D99" s="133"/>
      <c r="E99" s="562" t="str">
        <f>"(Note  "&amp;B$296&amp;")"</f>
        <v>(Note  A)</v>
      </c>
      <c r="F99" s="122" t="str">
        <f>"(Attachment 4, Line "&amp;'4 - Cost Support'!A214&amp;")"</f>
        <v>(Attachment 4, Line 81)</v>
      </c>
      <c r="G99" s="132"/>
      <c r="H99" s="609">
        <f>+'4 - Cost Support'!T214</f>
        <v>-1928778.7692307692</v>
      </c>
    </row>
    <row r="100" spans="1:8" s="346" customFormat="1" ht="15">
      <c r="A100" s="115">
        <f>+A99+1</f>
        <v>51</v>
      </c>
      <c r="B100" s="304"/>
      <c r="C100" s="133" t="s">
        <v>64</v>
      </c>
      <c r="D100" s="133"/>
      <c r="E100" s="44"/>
      <c r="F100" s="122" t="str">
        <f>"(Line "&amp;A98&amp;" + Line "&amp;A99&amp;")"</f>
        <v>(Line 49 + Line 50)</v>
      </c>
      <c r="G100" s="132"/>
      <c r="H100" s="204">
        <f>+H98+H99</f>
        <v>-3306979.846153846</v>
      </c>
    </row>
    <row r="101" spans="1:8" s="346" customFormat="1" ht="15">
      <c r="A101" s="115">
        <f>+A100+1</f>
        <v>52</v>
      </c>
      <c r="B101" s="304"/>
      <c r="C101" s="595" t="s">
        <v>65</v>
      </c>
      <c r="D101" s="595"/>
      <c r="E101" s="606"/>
      <c r="F101" s="125" t="str">
        <f>"(Line "&amp;A$16&amp;")"</f>
        <v>(Line 5)</v>
      </c>
      <c r="G101" s="607"/>
      <c r="H101" s="608">
        <f>+H16</f>
        <v>0.15894128950099584</v>
      </c>
    </row>
    <row r="102" spans="1:8" s="346" customFormat="1" ht="15">
      <c r="A102" s="115">
        <f>+A101+1</f>
        <v>53</v>
      </c>
      <c r="B102" s="304"/>
      <c r="C102" s="133" t="s">
        <v>66</v>
      </c>
      <c r="D102" s="133"/>
      <c r="E102" s="44"/>
      <c r="F102" s="122" t="str">
        <f>"(Line "&amp;A100&amp;" * Line "&amp;A101&amp;")"</f>
        <v>(Line 51 * Line 52)</v>
      </c>
      <c r="G102" s="132"/>
      <c r="H102" s="204">
        <f>+H100*H101</f>
        <v>-525615.64110149711</v>
      </c>
    </row>
    <row r="103" spans="1:8" s="346" customFormat="1" ht="15">
      <c r="A103" s="115"/>
      <c r="B103" s="304"/>
      <c r="C103" s="133"/>
      <c r="D103" s="133"/>
      <c r="E103" s="44"/>
      <c r="F103" s="122"/>
      <c r="G103" s="132"/>
      <c r="H103" s="204"/>
    </row>
    <row r="104" spans="1:8" s="346" customFormat="1" ht="15">
      <c r="A104" s="115">
        <f>+A102+1</f>
        <v>54</v>
      </c>
      <c r="B104" s="304"/>
      <c r="C104" s="133" t="s">
        <v>67</v>
      </c>
      <c r="D104" s="133"/>
      <c r="E104" s="562" t="str">
        <f>"(Note  "&amp;B$296&amp;")"</f>
        <v>(Note  A)</v>
      </c>
      <c r="F104" s="122" t="str">
        <f>"(Attachment 4, Line "&amp;'4 - Cost Support'!A215&amp;")"</f>
        <v>(Attachment 4, Line 82)</v>
      </c>
      <c r="G104" s="132"/>
      <c r="H104" s="204">
        <f>+'4 - Cost Support'!T215</f>
        <v>0</v>
      </c>
    </row>
    <row r="105" spans="1:8" s="346" customFormat="1" ht="15">
      <c r="A105" s="115"/>
      <c r="B105" s="304"/>
      <c r="C105" s="133"/>
      <c r="D105" s="133"/>
      <c r="E105" s="44"/>
      <c r="F105" s="122"/>
      <c r="G105" s="132"/>
      <c r="H105" s="204"/>
    </row>
    <row r="106" spans="1:8" s="346" customFormat="1" ht="15">
      <c r="A106" s="115">
        <f>+A104+1</f>
        <v>55</v>
      </c>
      <c r="B106" s="116" t="s">
        <v>860</v>
      </c>
      <c r="C106" s="133"/>
      <c r="D106" s="133"/>
      <c r="E106" s="562" t="str">
        <f>"(Note  "&amp;B$307&amp;")"</f>
        <v>(Note  L)</v>
      </c>
      <c r="F106" s="122" t="str">
        <f>"(Attachment 4, Line "&amp;'4 - Cost Support'!A231&amp;")"</f>
        <v>(Attachment 4, Line 86)</v>
      </c>
      <c r="G106" s="132"/>
      <c r="H106" s="204">
        <f>+'4 - Cost Support'!T231</f>
        <v>-424288.15384615387</v>
      </c>
    </row>
    <row r="107" spans="1:8" s="346" customFormat="1" ht="15">
      <c r="A107" s="115"/>
      <c r="B107" s="304"/>
      <c r="C107" s="133"/>
      <c r="D107" s="133"/>
      <c r="E107" s="44"/>
      <c r="F107" s="46"/>
      <c r="G107" s="132"/>
      <c r="H107" s="585"/>
    </row>
    <row r="108" spans="1:8" s="346" customFormat="1" ht="15">
      <c r="A108" s="115">
        <f>+A106+1</f>
        <v>56</v>
      </c>
      <c r="B108" s="116" t="s">
        <v>68</v>
      </c>
      <c r="C108" s="133"/>
      <c r="D108" s="133"/>
      <c r="E108" s="562" t="str">
        <f>"(Note  "&amp;B$296&amp;")"</f>
        <v>(Note  A)</v>
      </c>
      <c r="F108" s="122" t="str">
        <f>"(Attachment 4, Line "&amp;'4 - Cost Support'!A222&amp;")"</f>
        <v>(Attachment 4, Line 83)</v>
      </c>
      <c r="G108" s="132"/>
      <c r="H108" s="204">
        <f>+'4 - Cost Support'!T222</f>
        <v>-3593.5384615384614</v>
      </c>
    </row>
    <row r="109" spans="1:8" s="346" customFormat="1" ht="15">
      <c r="A109" s="115"/>
      <c r="B109" s="116"/>
      <c r="C109" s="133"/>
      <c r="D109" s="133"/>
      <c r="E109" s="44"/>
      <c r="F109" s="122"/>
      <c r="G109" s="132"/>
      <c r="H109" s="204"/>
    </row>
    <row r="110" spans="1:8" s="346" customFormat="1" ht="15">
      <c r="A110" s="115">
        <f>+A108+1</f>
        <v>57</v>
      </c>
      <c r="B110" s="116" t="s">
        <v>69</v>
      </c>
      <c r="C110" s="133"/>
      <c r="D110" s="133"/>
      <c r="E110" s="562" t="str">
        <f>"(Note  "&amp;B$296&amp;")"</f>
        <v>(Note  A)</v>
      </c>
      <c r="F110" s="122" t="str">
        <f>"(Attachment 4, Line "&amp;'4 - Cost Support'!A237&amp;")"</f>
        <v>(Attachment 4, Line 87)</v>
      </c>
      <c r="G110" s="132"/>
      <c r="H110" s="204">
        <f>+'4 - Cost Support'!T237</f>
        <v>-1743491.1434598635</v>
      </c>
    </row>
    <row r="111" spans="1:8">
      <c r="A111" s="115"/>
      <c r="H111" s="122"/>
    </row>
    <row r="112" spans="1:8" ht="64.5" customHeight="1" thickBot="1">
      <c r="A112" s="115">
        <f>+A110+1</f>
        <v>58</v>
      </c>
      <c r="B112" s="566" t="s">
        <v>70</v>
      </c>
      <c r="C112" s="566"/>
      <c r="D112" s="566"/>
      <c r="E112" s="582"/>
      <c r="F112" s="610" t="str">
        <f>"(Lines "&amp;A62&amp;" + "&amp;A65&amp;" + "&amp;A68&amp;" + "&amp;A71&amp;" + "&amp;A73&amp;" + "&amp;A78&amp;" + "&amp;A86&amp;" + "&amp;A91&amp;" + "&amp;A96&amp;" + "&amp;A102&amp;" + "&amp;A104&amp;" + "&amp;A106&amp;" + "&amp;A108&amp;" + "&amp;A110&amp;")"</f>
        <v>(Lines 30 + 31 + 32 + 33 + 34 + 37 + 42 + 45 + 48 + 53 + 54 + 55 + 56 + 57)</v>
      </c>
      <c r="G112" s="611"/>
      <c r="H112" s="612">
        <f>+H62+H65+H68+H71+H73+H78+H86+H91+H96+H102+H104+H106+H108+H110</f>
        <v>-47635302.381401494</v>
      </c>
    </row>
    <row r="113" spans="1:8" ht="15" thickTop="1">
      <c r="A113" s="115"/>
      <c r="H113" s="204"/>
    </row>
    <row r="114" spans="1:8" ht="15.75" thickBot="1">
      <c r="A114" s="613">
        <f>+A112+1</f>
        <v>59</v>
      </c>
      <c r="B114" s="614" t="s">
        <v>71</v>
      </c>
      <c r="C114" s="614"/>
      <c r="D114" s="614"/>
      <c r="E114" s="615"/>
      <c r="F114" s="616" t="str">
        <f>"(Line "&amp;A57&amp;" + Line "&amp;A112&amp;")"</f>
        <v>(Line 29 + Line 58)</v>
      </c>
      <c r="G114" s="614"/>
      <c r="H114" s="617">
        <f>H57+H112</f>
        <v>154595719.90037507</v>
      </c>
    </row>
    <row r="116" spans="1:8" ht="15">
      <c r="A116" s="555" t="s">
        <v>72</v>
      </c>
      <c r="B116" s="556"/>
      <c r="C116" s="618"/>
      <c r="D116" s="557"/>
      <c r="E116" s="558"/>
      <c r="F116" s="557"/>
      <c r="G116" s="557"/>
      <c r="H116" s="559"/>
    </row>
    <row r="117" spans="1:8" ht="15">
      <c r="A117" s="46"/>
      <c r="E117" s="44"/>
      <c r="H117" s="560"/>
    </row>
    <row r="118" spans="1:8" ht="15">
      <c r="A118" s="115"/>
      <c r="B118" s="132" t="s">
        <v>73</v>
      </c>
      <c r="D118" s="122"/>
      <c r="E118" s="158"/>
      <c r="G118" s="122"/>
      <c r="H118" s="122"/>
    </row>
    <row r="119" spans="1:8" ht="15">
      <c r="A119" s="115">
        <f>+A114+1</f>
        <v>60</v>
      </c>
      <c r="B119" s="115"/>
      <c r="C119" s="46" t="s">
        <v>73</v>
      </c>
      <c r="E119" s="562"/>
      <c r="F119" s="122" t="str">
        <f>"(Attachment 4, Line "&amp;'4 - Cost Support'!A67&amp;")"</f>
        <v>(Attachment 4, Line 26)</v>
      </c>
      <c r="G119" s="44"/>
      <c r="H119" s="122">
        <f>+'4 - Cost Support'!S67</f>
        <v>36116518</v>
      </c>
    </row>
    <row r="120" spans="1:8">
      <c r="A120" s="115">
        <f>+A119+1</f>
        <v>61</v>
      </c>
      <c r="B120" s="115"/>
      <c r="C120" s="46" t="s">
        <v>74</v>
      </c>
      <c r="D120" s="122"/>
      <c r="E120" s="562"/>
      <c r="F120" s="125" t="str">
        <f>"(Attachment 4, Line "&amp;'4 - Cost Support'!A70&amp;")"</f>
        <v>(Attachment 4, Line 29)</v>
      </c>
      <c r="H120" s="122">
        <f>+'4 - Cost Support'!S70</f>
        <v>29434901</v>
      </c>
    </row>
    <row r="121" spans="1:8" ht="15">
      <c r="A121" s="115">
        <f>1+A120</f>
        <v>62</v>
      </c>
      <c r="C121" s="605" t="s">
        <v>73</v>
      </c>
      <c r="D121" s="563"/>
      <c r="E121" s="579"/>
      <c r="F121" s="122" t="str">
        <f>"(Lines "&amp;A119&amp;" - "&amp;A120&amp;")"</f>
        <v>(Lines 60 - 61)</v>
      </c>
      <c r="G121" s="563"/>
      <c r="H121" s="619">
        <f>+H119-H120</f>
        <v>6681617</v>
      </c>
    </row>
    <row r="122" spans="1:8" ht="15">
      <c r="A122" s="115"/>
      <c r="B122" s="115"/>
      <c r="C122" s="132"/>
      <c r="E122" s="158"/>
      <c r="H122" s="620"/>
    </row>
    <row r="123" spans="1:8" ht="15">
      <c r="A123" s="115"/>
      <c r="B123" s="132" t="s">
        <v>75</v>
      </c>
      <c r="E123" s="158"/>
      <c r="H123" s="620"/>
    </row>
    <row r="124" spans="1:8">
      <c r="A124" s="115">
        <f>A121+1</f>
        <v>63</v>
      </c>
      <c r="B124" s="115"/>
      <c r="C124" s="46" t="s">
        <v>76</v>
      </c>
      <c r="E124" s="562" t="str">
        <f>"(Note  "&amp;B302&amp;", "&amp;B317&amp;" &amp; "&amp;B318&amp;")"</f>
        <v>(Note  G, V &amp; W)</v>
      </c>
      <c r="F124" s="122" t="str">
        <f>"(Attachment 4, Line "&amp;'4 - Cost Support'!A83&amp;")"</f>
        <v>(Attachment 4, Line 31)</v>
      </c>
      <c r="H124" s="122">
        <f>+'4 - Cost Support'!S83</f>
        <v>73522883</v>
      </c>
    </row>
    <row r="125" spans="1:8">
      <c r="A125" s="115">
        <f t="shared" ref="A125:A131" si="0">+A124+1</f>
        <v>64</v>
      </c>
      <c r="B125" s="115"/>
      <c r="C125" s="46" t="s">
        <v>77</v>
      </c>
      <c r="D125" s="122"/>
      <c r="F125" s="122" t="str">
        <f>"(Attachment 4, Line "&amp;'4 - Cost Support'!A77&amp;")"</f>
        <v>(Attachment 4, Line 30)</v>
      </c>
      <c r="H125" s="590">
        <v>0</v>
      </c>
    </row>
    <row r="126" spans="1:8">
      <c r="A126" s="115">
        <f t="shared" si="0"/>
        <v>65</v>
      </c>
      <c r="B126" s="115"/>
      <c r="C126" s="46" t="s">
        <v>78</v>
      </c>
      <c r="D126" s="122"/>
      <c r="E126" s="562" t="str">
        <f>"(Note "&amp;B$299&amp;")"</f>
        <v>(Note D)</v>
      </c>
      <c r="F126" s="122" t="str">
        <f>"(Attachment 4, Line "&amp;'4 - Cost Support'!A92&amp;")"</f>
        <v>(Attachment 4, Line 34)</v>
      </c>
      <c r="H126" s="590">
        <v>0</v>
      </c>
    </row>
    <row r="127" spans="1:8">
      <c r="A127" s="115">
        <f t="shared" si="0"/>
        <v>66</v>
      </c>
      <c r="B127" s="115"/>
      <c r="C127" s="46" t="s">
        <v>79</v>
      </c>
      <c r="D127" s="122"/>
      <c r="E127" s="562" t="str">
        <f>"(Note "&amp;B310&amp;")"</f>
        <v>(Note O)</v>
      </c>
      <c r="F127" s="122" t="str">
        <f>"(Attachment 4, Line "&amp;'4 - Cost Support'!A85&amp;")"</f>
        <v>(Attachment 4, Line 33)</v>
      </c>
      <c r="H127" s="122">
        <f>+'13 - A&amp;G Detail'!J37+'13 - A&amp;G Detail'!H37</f>
        <v>73441553</v>
      </c>
    </row>
    <row r="128" spans="1:8" ht="28.5">
      <c r="A128" s="115">
        <f t="shared" si="0"/>
        <v>67</v>
      </c>
      <c r="B128" s="115"/>
      <c r="C128" s="46" t="s">
        <v>808</v>
      </c>
      <c r="E128" s="562" t="str">
        <f>"(Note "&amp;B$298&amp;")"</f>
        <v>(Note C)</v>
      </c>
      <c r="F128" s="621" t="str">
        <f>"(Attachment 4, Line "&amp;'4 - Cost Support'!A100&amp;" &amp; Attachment 4, Line "&amp;'4 - Cost Support'!A101&amp;")"</f>
        <v>(Attachment 4, Line 36 &amp; Attachment 4, Line 37)</v>
      </c>
      <c r="H128" s="122">
        <f>+'4 - Cost Support'!S100+'4 - Cost Support'!S101</f>
        <v>0</v>
      </c>
    </row>
    <row r="129" spans="1:8" ht="15">
      <c r="A129" s="115">
        <f t="shared" si="0"/>
        <v>68</v>
      </c>
      <c r="B129" s="115"/>
      <c r="C129" s="605" t="s">
        <v>80</v>
      </c>
      <c r="D129" s="563"/>
      <c r="E129" s="565"/>
      <c r="F129" s="122" t="str">
        <f>"(Lines "&amp;A124&amp;" - "&amp;A125&amp;" - "&amp;A126&amp;" - "&amp;A127&amp;" - "&amp;A128&amp;")"</f>
        <v>(Lines 63 - 64 - 65 - 66 - 67)</v>
      </c>
      <c r="G129" s="563"/>
      <c r="H129" s="564">
        <f>+H124-SUM(H125:H128)</f>
        <v>81330</v>
      </c>
    </row>
    <row r="130" spans="1:8">
      <c r="A130" s="115">
        <f t="shared" si="0"/>
        <v>69</v>
      </c>
      <c r="B130" s="115"/>
      <c r="C130" s="595" t="s">
        <v>28</v>
      </c>
      <c r="D130" s="133"/>
      <c r="F130" s="572" t="str">
        <f>"(Line "&amp;A$16&amp;")"</f>
        <v>(Line 5)</v>
      </c>
      <c r="G130" s="593"/>
      <c r="H130" s="580">
        <f>H16</f>
        <v>0.15894128950099584</v>
      </c>
    </row>
    <row r="131" spans="1:8" ht="15">
      <c r="A131" s="115">
        <f t="shared" si="0"/>
        <v>70</v>
      </c>
      <c r="B131" s="115"/>
      <c r="C131" s="605" t="s">
        <v>81</v>
      </c>
      <c r="D131" s="563"/>
      <c r="E131" s="565"/>
      <c r="F131" s="122" t="str">
        <f>"(Line "&amp;A129&amp;" * Line "&amp;A130&amp;")"</f>
        <v>(Line 68 * Line 69)</v>
      </c>
      <c r="G131" s="563"/>
      <c r="H131" s="622">
        <f>H129*H130</f>
        <v>12926.695075115991</v>
      </c>
    </row>
    <row r="132" spans="1:8" ht="15">
      <c r="A132" s="115"/>
      <c r="B132" s="115"/>
      <c r="C132" s="132"/>
      <c r="E132" s="158"/>
      <c r="H132" s="122"/>
    </row>
    <row r="133" spans="1:8" ht="15">
      <c r="A133" s="115"/>
      <c r="B133" s="132" t="s">
        <v>82</v>
      </c>
      <c r="E133" s="158"/>
      <c r="H133" s="122"/>
    </row>
    <row r="134" spans="1:8">
      <c r="A134" s="115">
        <f>+A131+1</f>
        <v>71</v>
      </c>
      <c r="B134" s="207"/>
      <c r="C134" s="133" t="s">
        <v>809</v>
      </c>
      <c r="D134" s="562"/>
      <c r="E134" s="562" t="str">
        <f>"(Note "&amp;B$300&amp;")"</f>
        <v>(Note E)</v>
      </c>
      <c r="F134" s="122" t="str">
        <f>"(Attachment 4, Line "&amp;'4 - Cost Support'!A93&amp;")"</f>
        <v>(Attachment 4, Line 35)</v>
      </c>
      <c r="H134" s="122">
        <f>+'4 - Cost Support'!S93</f>
        <v>0</v>
      </c>
    </row>
    <row r="135" spans="1:8">
      <c r="A135" s="115">
        <f>+A134+1</f>
        <v>72</v>
      </c>
      <c r="B135" s="207"/>
      <c r="C135" s="572" t="s">
        <v>83</v>
      </c>
      <c r="D135" s="623"/>
      <c r="E135" s="573" t="str">
        <f>"(Note "&amp;B310&amp;")"</f>
        <v>(Note O)</v>
      </c>
      <c r="F135" s="125" t="str">
        <f>"(Attachment 4, Line "&amp;'4 - Cost Support'!A84&amp;")"</f>
        <v>(Attachment 4, Line 32)</v>
      </c>
      <c r="G135" s="572"/>
      <c r="H135" s="125">
        <f>+'4 - Cost Support'!S84</f>
        <v>9087258</v>
      </c>
    </row>
    <row r="136" spans="1:8">
      <c r="A136" s="115">
        <f>+A135+1</f>
        <v>73</v>
      </c>
      <c r="B136" s="207"/>
      <c r="C136" s="133" t="s">
        <v>84</v>
      </c>
      <c r="E136" s="599"/>
      <c r="F136" s="122" t="str">
        <f>"(Line "&amp;A134&amp;" + Line "&amp;A135&amp;")"</f>
        <v>(Line 71 + Line 72)</v>
      </c>
      <c r="H136" s="204">
        <f>SUM(H134:H135)</f>
        <v>9087258</v>
      </c>
    </row>
    <row r="137" spans="1:8">
      <c r="A137" s="115"/>
      <c r="B137" s="207"/>
      <c r="C137" s="133"/>
      <c r="E137" s="599"/>
      <c r="F137" s="133"/>
      <c r="H137" s="593"/>
    </row>
    <row r="138" spans="1:8">
      <c r="A138" s="115">
        <f>+A136+1</f>
        <v>74</v>
      </c>
      <c r="B138" s="207"/>
      <c r="C138" s="133" t="s">
        <v>85</v>
      </c>
      <c r="E138" s="562"/>
      <c r="F138" s="133" t="str">
        <f>"(Line "&amp;A125&amp;")"</f>
        <v>(Line 64)</v>
      </c>
      <c r="H138" s="204">
        <f>H125</f>
        <v>0</v>
      </c>
    </row>
    <row r="139" spans="1:8">
      <c r="A139" s="115">
        <f>+A138+1</f>
        <v>75</v>
      </c>
      <c r="B139" s="115"/>
      <c r="C139" s="133" t="s">
        <v>20</v>
      </c>
      <c r="D139" s="133"/>
      <c r="F139" s="125" t="str">
        <f>"(Line "&amp;A$27&amp;")"</f>
        <v>(Line 12)</v>
      </c>
      <c r="G139" s="593"/>
      <c r="H139" s="580">
        <f>H27</f>
        <v>0.16033498951641173</v>
      </c>
    </row>
    <row r="140" spans="1:8" ht="15">
      <c r="A140" s="115">
        <f>+A139+1</f>
        <v>76</v>
      </c>
      <c r="B140" s="115"/>
      <c r="C140" s="605" t="s">
        <v>62</v>
      </c>
      <c r="D140" s="563"/>
      <c r="E140" s="565"/>
      <c r="F140" s="122" t="str">
        <f>"(Line "&amp;A138&amp;" * Line "&amp;A139&amp;")"</f>
        <v>(Line 74 * Line 75)</v>
      </c>
      <c r="G140" s="564"/>
      <c r="H140" s="622">
        <f>+H138*H139</f>
        <v>0</v>
      </c>
    </row>
    <row r="141" spans="1:8" ht="15">
      <c r="A141" s="115"/>
      <c r="B141" s="115"/>
      <c r="C141" s="132"/>
      <c r="E141" s="158"/>
      <c r="F141" s="122"/>
      <c r="G141" s="122"/>
      <c r="H141" s="624"/>
    </row>
    <row r="142" spans="1:8" ht="15">
      <c r="A142" s="115">
        <f>+A140+1</f>
        <v>77</v>
      </c>
      <c r="B142" s="115"/>
      <c r="C142" s="132" t="s">
        <v>86</v>
      </c>
      <c r="E142" s="158"/>
      <c r="F142" s="122" t="str">
        <f>"(Lines "&amp;A131&amp;" + "&amp;A136&amp;" + "&amp;A140&amp;")"</f>
        <v>(Lines 70 + 73 + 76)</v>
      </c>
      <c r="H142" s="204">
        <f>+H131+H136+H140</f>
        <v>9100184.6950751152</v>
      </c>
    </row>
    <row r="143" spans="1:8" ht="15">
      <c r="A143" s="115"/>
      <c r="B143" s="115"/>
      <c r="C143" s="132"/>
      <c r="E143" s="158"/>
      <c r="F143" s="122"/>
      <c r="H143" s="122"/>
    </row>
    <row r="144" spans="1:8" ht="15.75" thickBot="1">
      <c r="A144" s="115">
        <f>+A142+1</f>
        <v>78</v>
      </c>
      <c r="B144" s="115"/>
      <c r="C144" s="614" t="s">
        <v>87</v>
      </c>
      <c r="D144" s="625"/>
      <c r="E144" s="626"/>
      <c r="F144" s="627" t="str">
        <f>"(Lines "&amp;A121&amp;" + "&amp;A142&amp;")"</f>
        <v>(Lines 62 + 77)</v>
      </c>
      <c r="G144" s="625"/>
      <c r="H144" s="617">
        <f>+H121+H142</f>
        <v>15781801.695075115</v>
      </c>
    </row>
    <row r="145" spans="1:8" ht="15">
      <c r="B145" s="115"/>
      <c r="C145" s="132"/>
      <c r="E145" s="158"/>
      <c r="H145" s="571"/>
    </row>
    <row r="146" spans="1:8" ht="15">
      <c r="A146" s="555" t="s">
        <v>88</v>
      </c>
      <c r="B146" s="556"/>
      <c r="C146" s="618"/>
      <c r="D146" s="557"/>
      <c r="E146" s="558"/>
      <c r="F146" s="557"/>
      <c r="G146" s="557"/>
      <c r="H146" s="559"/>
    </row>
    <row r="147" spans="1:8" ht="15">
      <c r="A147" s="132"/>
      <c r="B147" s="115"/>
      <c r="C147" s="132"/>
      <c r="E147" s="158"/>
      <c r="H147" s="571"/>
    </row>
    <row r="148" spans="1:8" ht="15">
      <c r="A148" s="115"/>
      <c r="B148" s="116" t="s">
        <v>89</v>
      </c>
      <c r="F148" s="207"/>
      <c r="G148" s="207"/>
      <c r="H148" s="628"/>
    </row>
    <row r="149" spans="1:8">
      <c r="A149" s="115">
        <f>+A144+1</f>
        <v>79</v>
      </c>
      <c r="B149" s="207"/>
      <c r="C149" s="133" t="s">
        <v>90</v>
      </c>
      <c r="E149" s="562" t="str">
        <f>"(Note "&amp;B$302&amp;")"</f>
        <v>(Note G)</v>
      </c>
      <c r="F149" s="122" t="str">
        <f>"(Attachment 4, Line "&amp;'4 - Cost Support'!A108&amp;")"</f>
        <v>(Attachment 4, Line 38)</v>
      </c>
      <c r="H149" s="204">
        <f>+'4 - Cost Support'!S108</f>
        <v>8869839</v>
      </c>
    </row>
    <row r="150" spans="1:8">
      <c r="A150" s="115">
        <f>+A149+1</f>
        <v>80</v>
      </c>
      <c r="B150" s="207"/>
      <c r="C150" s="133" t="s">
        <v>91</v>
      </c>
      <c r="E150" s="562" t="str">
        <f>"(Note "&amp;B$308&amp;")"</f>
        <v>(Note M)</v>
      </c>
      <c r="F150" s="122" t="str">
        <f>"(Attachment 4, Line "&amp;'4 - Cost Support'!A192&amp;")"</f>
        <v>(Attachment 4, Line 75)</v>
      </c>
      <c r="H150" s="204">
        <f>+'4 - Cost Support'!H192</f>
        <v>0</v>
      </c>
    </row>
    <row r="151" spans="1:8">
      <c r="A151" s="115"/>
      <c r="B151" s="207"/>
      <c r="C151" s="133"/>
      <c r="E151" s="562"/>
      <c r="F151" s="133"/>
      <c r="H151" s="204"/>
    </row>
    <row r="152" spans="1:8">
      <c r="A152" s="115">
        <f>+A150+1</f>
        <v>81</v>
      </c>
      <c r="B152" s="207"/>
      <c r="C152" s="133" t="s">
        <v>92</v>
      </c>
      <c r="E152" s="562" t="str">
        <f>"(Note "&amp;B$302&amp;")"</f>
        <v>(Note G)</v>
      </c>
      <c r="F152" s="122" t="str">
        <f>"(Attachment 4, Line "&amp;'4 - Cost Support'!A109&amp;")"</f>
        <v>(Attachment 4, Line 39)</v>
      </c>
      <c r="H152" s="204">
        <f>+'4 - Cost Support'!S109</f>
        <v>1082047</v>
      </c>
    </row>
    <row r="153" spans="1:8">
      <c r="A153" s="115">
        <f>+A152+1</f>
        <v>82</v>
      </c>
      <c r="B153" s="207"/>
      <c r="C153" s="595" t="s">
        <v>93</v>
      </c>
      <c r="D153" s="572"/>
      <c r="E153" s="573" t="str">
        <f>"(Note "&amp;B296&amp;" &amp; "&amp;B$302&amp;")"</f>
        <v>(Note A &amp; G)</v>
      </c>
      <c r="F153" s="125" t="str">
        <f>"(Attachment 4, Line "&amp;'4 - Cost Support'!A110&amp;")"</f>
        <v>(Attachment 4, Line 40)</v>
      </c>
      <c r="G153" s="572"/>
      <c r="H153" s="125">
        <f>+'4 - Cost Support'!S110</f>
        <v>3199318</v>
      </c>
    </row>
    <row r="154" spans="1:8">
      <c r="A154" s="115">
        <f>+A153+1</f>
        <v>83</v>
      </c>
      <c r="B154" s="207"/>
      <c r="C154" s="133" t="s">
        <v>64</v>
      </c>
      <c r="F154" s="122" t="str">
        <f>"(Line "&amp;A152&amp;" + Line "&amp;A153&amp;")"</f>
        <v>(Line 81 + Line 82)</v>
      </c>
      <c r="H154" s="204">
        <f>+H152+H153</f>
        <v>4281365</v>
      </c>
    </row>
    <row r="155" spans="1:8">
      <c r="A155" s="115">
        <f>+A154+1</f>
        <v>84</v>
      </c>
      <c r="B155" s="207"/>
      <c r="C155" s="595" t="s">
        <v>28</v>
      </c>
      <c r="D155" s="595"/>
      <c r="E155" s="596"/>
      <c r="F155" s="572" t="str">
        <f>"(Line "&amp;A$16&amp;")"</f>
        <v>(Line 5)</v>
      </c>
      <c r="G155" s="597"/>
      <c r="H155" s="608">
        <f>H16</f>
        <v>0.15894128950099584</v>
      </c>
    </row>
    <row r="156" spans="1:8">
      <c r="A156" s="115">
        <f>+A155+1</f>
        <v>85</v>
      </c>
      <c r="B156" s="207"/>
      <c r="C156" s="133" t="s">
        <v>94</v>
      </c>
      <c r="F156" s="122" t="str">
        <f>"(Line "&amp;A154&amp;" * Line "&amp;A155&amp;")"</f>
        <v>(Line 83 * Line 84)</v>
      </c>
      <c r="G156" s="593"/>
      <c r="H156" s="204">
        <f>H154*H155</f>
        <v>680485.67392443109</v>
      </c>
    </row>
    <row r="157" spans="1:8">
      <c r="A157" s="599"/>
      <c r="B157" s="629"/>
      <c r="C157" s="133"/>
      <c r="F157" s="133"/>
      <c r="G157" s="593"/>
      <c r="H157" s="630"/>
    </row>
    <row r="158" spans="1:8" s="346" customFormat="1" ht="15.75" thickBot="1">
      <c r="A158" s="115">
        <f>+A156+1</f>
        <v>86</v>
      </c>
      <c r="B158" s="631" t="s">
        <v>95</v>
      </c>
      <c r="C158" s="631"/>
      <c r="D158" s="614"/>
      <c r="E158" s="615"/>
      <c r="F158" s="631" t="str">
        <f>"(Lines "&amp;A149&amp;" + "&amp;A150&amp;" + "&amp;A156&amp;")"</f>
        <v>(Lines 79 + 80 + 85)</v>
      </c>
      <c r="G158" s="631"/>
      <c r="H158" s="617">
        <f>+H149+H150+H156</f>
        <v>9550324.6739244312</v>
      </c>
    </row>
    <row r="159" spans="1:8">
      <c r="H159" s="207"/>
    </row>
    <row r="160" spans="1:8" ht="15">
      <c r="A160" s="555" t="s">
        <v>96</v>
      </c>
      <c r="B160" s="556"/>
      <c r="C160" s="618"/>
      <c r="D160" s="557"/>
      <c r="E160" s="632"/>
      <c r="F160" s="557"/>
      <c r="G160" s="557"/>
      <c r="H160" s="633"/>
    </row>
    <row r="161" spans="1:8" ht="15">
      <c r="A161" s="588"/>
      <c r="B161" s="115"/>
      <c r="C161" s="132"/>
      <c r="E161" s="158"/>
      <c r="H161" s="634"/>
    </row>
    <row r="162" spans="1:8" ht="15">
      <c r="A162" s="115">
        <f>+A158+1</f>
        <v>87</v>
      </c>
      <c r="B162" s="133" t="s">
        <v>97</v>
      </c>
      <c r="C162" s="594"/>
      <c r="E162" s="562"/>
      <c r="F162" s="122" t="str">
        <f>"(Attachment 2, Line "&amp;'2 - Other Taxes'!A29&amp;")"</f>
        <v>(Attachment 2, Line 11)</v>
      </c>
      <c r="H162" s="204">
        <f>+'2 - Other Taxes'!G29</f>
        <v>11083453.174515588</v>
      </c>
    </row>
    <row r="163" spans="1:8">
      <c r="A163" s="115"/>
      <c r="F163" s="133"/>
      <c r="H163" s="207"/>
    </row>
    <row r="164" spans="1:8" ht="15.75" thickBot="1">
      <c r="A164" s="115">
        <f>+A162+1</f>
        <v>88</v>
      </c>
      <c r="B164" s="614" t="s">
        <v>98</v>
      </c>
      <c r="C164" s="614"/>
      <c r="D164" s="614"/>
      <c r="E164" s="615"/>
      <c r="F164" s="616" t="str">
        <f>"(Line "&amp;A162&amp;")"</f>
        <v>(Line 87)</v>
      </c>
      <c r="G164" s="614"/>
      <c r="H164" s="617">
        <f>H162</f>
        <v>11083453.174515588</v>
      </c>
    </row>
    <row r="165" spans="1:8" ht="15">
      <c r="A165" s="555" t="s">
        <v>99</v>
      </c>
      <c r="B165" s="556"/>
      <c r="C165" s="618"/>
      <c r="D165" s="557"/>
      <c r="E165" s="558"/>
      <c r="F165" s="557"/>
      <c r="G165" s="557"/>
      <c r="H165" s="559"/>
    </row>
    <row r="166" spans="1:8" ht="15">
      <c r="B166" s="115"/>
      <c r="C166" s="132"/>
      <c r="E166" s="158"/>
      <c r="H166" s="560"/>
    </row>
    <row r="167" spans="1:8" ht="15">
      <c r="A167" s="115">
        <f>+A164+1</f>
        <v>89</v>
      </c>
      <c r="B167" s="635" t="s">
        <v>100</v>
      </c>
      <c r="E167" s="562"/>
      <c r="F167" s="122" t="str">
        <f>"(Attachment 4, Line "&amp;'4 - Cost Support'!A132&amp;")"</f>
        <v>(Attachment 4, Line 50)</v>
      </c>
      <c r="G167" s="122"/>
      <c r="H167" s="122">
        <f>+'4 - Cost Support'!S132</f>
        <v>24610244</v>
      </c>
    </row>
    <row r="168" spans="1:8">
      <c r="A168" s="115"/>
      <c r="B168" s="115"/>
      <c r="C168" s="122"/>
      <c r="G168" s="122"/>
      <c r="H168" s="122"/>
    </row>
    <row r="169" spans="1:8" ht="15">
      <c r="A169" s="115">
        <f>+A167+1</f>
        <v>90</v>
      </c>
      <c r="B169" s="635" t="s">
        <v>101</v>
      </c>
      <c r="E169" s="562"/>
      <c r="F169" s="122" t="str">
        <f>"(Attachment 4, Line "&amp;'4 - Cost Support'!A133&amp;")"</f>
        <v>(Attachment 4, Line 51)</v>
      </c>
      <c r="G169" s="122"/>
      <c r="H169" s="122">
        <f>+'4 - Cost Support'!S133</f>
        <v>0</v>
      </c>
    </row>
    <row r="170" spans="1:8" ht="15">
      <c r="A170" s="115"/>
      <c r="B170" s="132" t="s">
        <v>102</v>
      </c>
      <c r="E170" s="158"/>
      <c r="F170" s="122"/>
      <c r="G170" s="122"/>
      <c r="H170" s="122"/>
    </row>
    <row r="171" spans="1:8" ht="15">
      <c r="A171" s="115"/>
      <c r="B171" s="132" t="s">
        <v>103</v>
      </c>
      <c r="E171" s="158"/>
      <c r="F171" s="122"/>
      <c r="G171" s="122"/>
      <c r="H171" s="122"/>
    </row>
    <row r="172" spans="1:8">
      <c r="A172" s="115">
        <f>+A169+1</f>
        <v>91</v>
      </c>
      <c r="B172" s="115"/>
      <c r="C172" s="122" t="s">
        <v>104</v>
      </c>
      <c r="D172" s="122"/>
      <c r="E172" s="562" t="str">
        <f>"(Note "&amp;B$306&amp;")"</f>
        <v>(Note K)</v>
      </c>
      <c r="F172" s="122" t="str">
        <f>"(Attachment 4, Line "&amp;'4 - Cost Support'!A134&amp;")"</f>
        <v>(Attachment 4, Line 52)</v>
      </c>
      <c r="G172" s="122"/>
      <c r="H172" s="122">
        <f>+'4 - Cost Support'!T134</f>
        <v>-545036225.5</v>
      </c>
    </row>
    <row r="173" spans="1:8">
      <c r="A173" s="115">
        <f>A172+1</f>
        <v>92</v>
      </c>
      <c r="B173" s="115"/>
      <c r="C173" s="122" t="s">
        <v>105</v>
      </c>
      <c r="D173" s="122"/>
      <c r="E173" s="562" t="str">
        <f>"(Note "&amp;B$306&amp;" )"</f>
        <v>(Note K )</v>
      </c>
      <c r="F173" s="122" t="str">
        <f>"(Attachment 4, Line "&amp;'4 - Cost Support'!A135&amp;")"</f>
        <v>(Attachment 4, Line 53)</v>
      </c>
      <c r="G173" s="122"/>
      <c r="H173" s="122">
        <f>+'4 - Cost Support'!T135</f>
        <v>39529947.5</v>
      </c>
    </row>
    <row r="174" spans="1:8">
      <c r="A174" s="115">
        <f>A173+1</f>
        <v>93</v>
      </c>
      <c r="B174" s="115"/>
      <c r="C174" s="122" t="s">
        <v>106</v>
      </c>
      <c r="D174" s="122"/>
      <c r="E174" s="562" t="str">
        <f>"(Note "&amp;B$306&amp;" )"</f>
        <v>(Note K )</v>
      </c>
      <c r="F174" s="122" t="str">
        <f>"(Attachment 4, Line "&amp;'4 - Cost Support'!A146&amp;")"</f>
        <v>(Attachment 4, Line 64)</v>
      </c>
      <c r="G174" s="122"/>
      <c r="H174" s="122">
        <f>+'4 - Cost Support'!T146</f>
        <v>0</v>
      </c>
    </row>
    <row r="175" spans="1:8">
      <c r="A175" s="115">
        <f>+A174+1</f>
        <v>94</v>
      </c>
      <c r="B175" s="115"/>
      <c r="C175" s="125" t="s">
        <v>107</v>
      </c>
      <c r="D175" s="125"/>
      <c r="E175" s="573" t="str">
        <f>"(Note "&amp;B$306&amp;")"</f>
        <v>(Note K)</v>
      </c>
      <c r="F175" s="125" t="str">
        <f>"(Attachment 4, Line "&amp;'4 - Cost Support'!A136&amp;")"</f>
        <v>(Attachment 4, Line 54)</v>
      </c>
      <c r="G175" s="125"/>
      <c r="H175" s="125">
        <f>+'4 - Cost Support'!T136</f>
        <v>0</v>
      </c>
    </row>
    <row r="176" spans="1:8" ht="15">
      <c r="A176" s="115">
        <f>+A175+1</f>
        <v>95</v>
      </c>
      <c r="B176" s="115"/>
      <c r="C176" s="635" t="s">
        <v>103</v>
      </c>
      <c r="D176" s="122"/>
      <c r="F176" s="46" t="str">
        <f>"(Line "&amp;A172&amp;" - "&amp;A173&amp;" - "&amp;A174&amp;" - "&amp;A175&amp;")"</f>
        <v>(Line 91 - 92 - 93 - 94)</v>
      </c>
      <c r="H176" s="122">
        <f>H172-H173-H174-H175</f>
        <v>-584566173</v>
      </c>
    </row>
    <row r="177" spans="1:8">
      <c r="A177" s="115"/>
      <c r="B177" s="115"/>
      <c r="E177" s="158"/>
      <c r="F177" s="122"/>
      <c r="H177" s="122"/>
    </row>
    <row r="178" spans="1:8" ht="15">
      <c r="A178" s="115">
        <f>+A176+1</f>
        <v>96</v>
      </c>
      <c r="B178" s="115"/>
      <c r="C178" s="132" t="s">
        <v>108</v>
      </c>
      <c r="E178" s="562" t="str">
        <f>"(Note "&amp;B$306&amp;")"</f>
        <v>(Note K)</v>
      </c>
      <c r="F178" s="122" t="str">
        <f>"(Attachment 4, Line "&amp;'4 - Cost Support'!A137&amp;")"</f>
        <v>(Attachment 4, Line 55)</v>
      </c>
      <c r="H178" s="122">
        <f>+'4 - Cost Support'!T137</f>
        <v>-579793511.5</v>
      </c>
    </row>
    <row r="179" spans="1:8">
      <c r="A179" s="115"/>
      <c r="B179" s="115"/>
      <c r="C179" s="46" t="s">
        <v>816</v>
      </c>
      <c r="E179" s="562" t="str">
        <f>"(Note "&amp;B$306&amp;")"</f>
        <v>(Note K)</v>
      </c>
      <c r="F179" s="122" t="str">
        <f>"(Attachment 4, Line "&amp;'4 - Cost Support'!A138&amp;")"</f>
        <v>(Attachment 4, Line 56)</v>
      </c>
      <c r="H179" s="122">
        <f>+'4 - Cost Support'!T138</f>
        <v>6057177.5</v>
      </c>
    </row>
    <row r="180" spans="1:8">
      <c r="A180" s="115">
        <f>+A178+1</f>
        <v>97</v>
      </c>
      <c r="B180" s="115"/>
      <c r="C180" s="46" t="s">
        <v>109</v>
      </c>
      <c r="E180" s="562" t="str">
        <f>"(Note "&amp;B$306&amp;")"</f>
        <v>(Note K)</v>
      </c>
      <c r="F180" s="122" t="str">
        <f>"(Attachment 4, Line "&amp;'4 - Cost Support'!A139&amp;")"</f>
        <v>(Attachment 4, Line 57)</v>
      </c>
      <c r="H180" s="122">
        <f>+'4 - Cost Support'!T139</f>
        <v>8541493.5</v>
      </c>
    </row>
    <row r="181" spans="1:8">
      <c r="A181" s="115">
        <f t="shared" ref="A181:A192" si="1">+A180+1</f>
        <v>98</v>
      </c>
      <c r="B181" s="115"/>
      <c r="C181" s="46" t="s">
        <v>110</v>
      </c>
      <c r="E181" s="562" t="str">
        <f t="shared" ref="E181:E182" si="2">"(Note "&amp;B$306&amp;")"</f>
        <v>(Note K)</v>
      </c>
      <c r="F181" s="122" t="str">
        <f>"(Attachment 4, Line "&amp;'4 - Cost Support'!A140&amp;")"</f>
        <v>(Attachment 4, Line 58)</v>
      </c>
      <c r="H181" s="122">
        <f>+'4 - Cost Support'!T140</f>
        <v>0</v>
      </c>
    </row>
    <row r="182" spans="1:8">
      <c r="A182" s="115">
        <f t="shared" si="1"/>
        <v>99</v>
      </c>
      <c r="B182" s="115"/>
      <c r="C182" s="46" t="s">
        <v>811</v>
      </c>
      <c r="E182" s="562" t="str">
        <f t="shared" si="2"/>
        <v>(Note K)</v>
      </c>
      <c r="F182" s="122" t="str">
        <f>"(Attachment 4, Line "&amp;'4 - Cost Support'!A141&amp;")"</f>
        <v>(Attachment 4, Line 59)</v>
      </c>
      <c r="H182" s="122">
        <f>+'4 - Cost Support'!T141</f>
        <v>2642260.5</v>
      </c>
    </row>
    <row r="183" spans="1:8">
      <c r="A183" s="115">
        <f t="shared" si="1"/>
        <v>100</v>
      </c>
      <c r="B183" s="115"/>
      <c r="C183" s="46" t="s">
        <v>111</v>
      </c>
      <c r="E183" s="562" t="str">
        <f>"(Note "&amp;B$306&amp;")"</f>
        <v>(Note K)</v>
      </c>
      <c r="F183" s="122" t="str">
        <f>"(Attachment 4, Line "&amp;'4 - Cost Support'!A142&amp;")"</f>
        <v>(Attachment 4, Line 60)</v>
      </c>
      <c r="H183" s="122">
        <f>+'4 - Cost Support'!T142</f>
        <v>0</v>
      </c>
    </row>
    <row r="184" spans="1:8">
      <c r="A184" s="115">
        <f t="shared" si="1"/>
        <v>101</v>
      </c>
      <c r="B184" s="115"/>
      <c r="C184" s="46" t="s">
        <v>812</v>
      </c>
      <c r="D184" s="629"/>
      <c r="E184" s="562" t="str">
        <f>"(Note "&amp;B$306&amp;")"</f>
        <v>(Note K)</v>
      </c>
      <c r="F184" s="122" t="str">
        <f>"(Attachment 4, Line "&amp;'4 - Cost Support'!A143&amp;")"</f>
        <v>(Attachment 4, Line 61)</v>
      </c>
      <c r="H184" s="122">
        <f>+'4 - Cost Support'!T143</f>
        <v>0</v>
      </c>
    </row>
    <row r="185" spans="1:8">
      <c r="A185" s="115">
        <f>+A184+1</f>
        <v>102</v>
      </c>
      <c r="B185" s="115"/>
      <c r="C185" s="46" t="s">
        <v>112</v>
      </c>
      <c r="D185" s="629"/>
      <c r="E185" s="562" t="str">
        <f t="shared" ref="E185:E186" si="3">"(Note "&amp;B$306&amp;")"</f>
        <v>(Note K)</v>
      </c>
      <c r="F185" s="122" t="str">
        <f>"(Attachment 4, Line "&amp;'4 - Cost Support'!A144&amp;")"</f>
        <v>(Attachment 4, Line 62)</v>
      </c>
      <c r="H185" s="122">
        <f>+'4 - Cost Support'!T144</f>
        <v>50448.5</v>
      </c>
    </row>
    <row r="186" spans="1:8">
      <c r="A186" s="115">
        <f>+A185+1</f>
        <v>103</v>
      </c>
      <c r="B186" s="115"/>
      <c r="C186" s="572" t="s">
        <v>113</v>
      </c>
      <c r="D186" s="636"/>
      <c r="E186" s="573" t="str">
        <f t="shared" si="3"/>
        <v>(Note K)</v>
      </c>
      <c r="F186" s="125" t="str">
        <f>"(Attachment 4, Line "&amp;'4 - Cost Support'!A145&amp;")"</f>
        <v>(Attachment 4, Line 63)</v>
      </c>
      <c r="G186" s="572"/>
      <c r="H186" s="125">
        <f>+'4 - Cost Support'!T145</f>
        <v>0</v>
      </c>
    </row>
    <row r="187" spans="1:8" ht="29.25">
      <c r="A187" s="115">
        <f>+A186+1</f>
        <v>104</v>
      </c>
      <c r="B187" s="115"/>
      <c r="C187" s="132" t="s">
        <v>780</v>
      </c>
      <c r="F187" s="637" t="str">
        <f>"(Line "&amp;A178&amp;" + "&amp;A180&amp;" + "&amp;A181&amp;" + "&amp;A182&amp;" + "&amp;A183&amp;" + "&amp;A184&amp;" + "&amp;A185&amp;" + "&amp;A186&amp;")"</f>
        <v>(Line 96 + 97 + 98 + 99 + 100 + 101 + 102 + 103)</v>
      </c>
      <c r="H187" s="122">
        <f>+SUM(H178:H186)</f>
        <v>-562502131.5</v>
      </c>
    </row>
    <row r="188" spans="1:8" ht="15">
      <c r="A188" s="115"/>
      <c r="B188" s="115"/>
      <c r="C188" s="132" t="s">
        <v>821</v>
      </c>
      <c r="F188" s="637"/>
      <c r="H188" s="122"/>
    </row>
    <row r="189" spans="1:8" ht="15">
      <c r="A189" s="115">
        <f>+A187+1</f>
        <v>105</v>
      </c>
      <c r="B189" s="115"/>
      <c r="C189" s="132" t="s">
        <v>822</v>
      </c>
      <c r="F189" s="122" t="str">
        <f>+"(Line "&amp;A178&amp;")"</f>
        <v>(Line 96)</v>
      </c>
      <c r="H189" s="122">
        <f>+H178</f>
        <v>-579793511.5</v>
      </c>
    </row>
    <row r="190" spans="1:8" ht="15">
      <c r="A190" s="115">
        <f t="shared" ref="A190" si="4">+A189+1</f>
        <v>106</v>
      </c>
      <c r="B190" s="115"/>
      <c r="C190" s="132" t="s">
        <v>114</v>
      </c>
      <c r="E190" s="562"/>
      <c r="F190" s="122" t="str">
        <f>+"(Line "&amp;A174&amp;")"</f>
        <v>(Line 93)</v>
      </c>
      <c r="H190" s="122">
        <f>+'4 - Cost Support'!T146</f>
        <v>0</v>
      </c>
    </row>
    <row r="191" spans="1:8" ht="15">
      <c r="A191" s="115">
        <f t="shared" si="1"/>
        <v>107</v>
      </c>
      <c r="B191" s="115"/>
      <c r="C191" s="132" t="s">
        <v>103</v>
      </c>
      <c r="E191" s="562"/>
      <c r="F191" s="125" t="str">
        <f>+"(Line "&amp;A176&amp;")"</f>
        <v>(Line 95)</v>
      </c>
      <c r="H191" s="122">
        <f>H176</f>
        <v>-584566173</v>
      </c>
    </row>
    <row r="192" spans="1:8" ht="15">
      <c r="A192" s="115">
        <f t="shared" si="1"/>
        <v>108</v>
      </c>
      <c r="B192" s="115"/>
      <c r="C192" s="605" t="s">
        <v>115</v>
      </c>
      <c r="D192" s="563"/>
      <c r="E192" s="579"/>
      <c r="F192" s="122" t="str">
        <f>"(Line "&amp;A189&amp;" + Line"&amp;A190&amp;" + Line "&amp;A191&amp;")"</f>
        <v>(Line 105 + Line106 + Line 107)</v>
      </c>
      <c r="G192" s="564"/>
      <c r="H192" s="564">
        <f>+H189+H190+H191</f>
        <v>-1164359684.5</v>
      </c>
    </row>
    <row r="193" spans="1:8">
      <c r="A193" s="115"/>
      <c r="B193" s="115"/>
      <c r="G193" s="122"/>
      <c r="H193" s="158"/>
    </row>
    <row r="194" spans="1:8">
      <c r="A194" s="115">
        <f>+A192+1</f>
        <v>109</v>
      </c>
      <c r="B194" s="115"/>
      <c r="C194" s="133" t="s">
        <v>116</v>
      </c>
      <c r="D194" s="46" t="s">
        <v>117</v>
      </c>
      <c r="E194" s="562"/>
      <c r="F194" s="122" t="str">
        <f>"(Line "&amp;A189&amp;" / Line "&amp;A192&amp;")"</f>
        <v>(Line 105 / Line 108)</v>
      </c>
      <c r="G194" s="122"/>
      <c r="H194" s="638">
        <f>+H189/H192</f>
        <v>0.49795052097580589</v>
      </c>
    </row>
    <row r="195" spans="1:8">
      <c r="A195" s="115">
        <f>+A194+1</f>
        <v>110</v>
      </c>
      <c r="B195" s="115"/>
      <c r="C195" s="133" t="s">
        <v>118</v>
      </c>
      <c r="D195" s="46" t="s">
        <v>114</v>
      </c>
      <c r="E195" s="562"/>
      <c r="F195" s="122" t="str">
        <f>"(Line "&amp;A190&amp;" / Line "&amp;A192&amp;")"</f>
        <v>(Line 106 / Line 108)</v>
      </c>
      <c r="G195" s="122"/>
      <c r="H195" s="639">
        <f>+H190/H192</f>
        <v>0</v>
      </c>
    </row>
    <row r="196" spans="1:8">
      <c r="A196" s="115">
        <f>+A195+1</f>
        <v>111</v>
      </c>
      <c r="B196" s="115"/>
      <c r="C196" s="133" t="s">
        <v>119</v>
      </c>
      <c r="D196" s="46" t="s">
        <v>103</v>
      </c>
      <c r="E196" s="562"/>
      <c r="F196" s="122" t="str">
        <f>"(Line "&amp;A191&amp;" / Line "&amp;A192&amp;")"</f>
        <v>(Line 107 / Line 108)</v>
      </c>
      <c r="G196" s="122"/>
      <c r="H196" s="638">
        <f>+H191/H192</f>
        <v>0.50204947902419406</v>
      </c>
    </row>
    <row r="197" spans="1:8">
      <c r="A197" s="115"/>
      <c r="B197" s="115"/>
      <c r="C197" s="277"/>
      <c r="F197" s="122"/>
      <c r="G197" s="122"/>
      <c r="H197" s="204"/>
    </row>
    <row r="198" spans="1:8">
      <c r="A198" s="115">
        <f>+A196+1</f>
        <v>112</v>
      </c>
      <c r="B198" s="115"/>
      <c r="C198" s="277" t="s">
        <v>120</v>
      </c>
      <c r="D198" s="46" t="s">
        <v>117</v>
      </c>
      <c r="F198" s="122" t="str">
        <f>"(Line "&amp;A167&amp;" / Line "&amp;A187&amp;")"</f>
        <v>(Line 89 / Line 104)</v>
      </c>
      <c r="G198" s="122"/>
      <c r="H198" s="638">
        <f>+H167/H187*-1</f>
        <v>4.3751379100329682E-2</v>
      </c>
    </row>
    <row r="199" spans="1:8">
      <c r="A199" s="115">
        <f>+A198+1</f>
        <v>113</v>
      </c>
      <c r="B199" s="115"/>
      <c r="C199" s="277" t="s">
        <v>121</v>
      </c>
      <c r="D199" s="46" t="s">
        <v>114</v>
      </c>
      <c r="F199" s="122" t="str">
        <f>"(Line "&amp;A169&amp;" / Line "&amp;A190&amp;")"</f>
        <v>(Line 90 / Line 106)</v>
      </c>
      <c r="G199" s="122"/>
      <c r="H199" s="638">
        <f>+IF(H190=0,0,H169/H190)</f>
        <v>0</v>
      </c>
    </row>
    <row r="200" spans="1:8">
      <c r="A200" s="115">
        <f>+A199+1</f>
        <v>114</v>
      </c>
      <c r="B200" s="115"/>
      <c r="C200" s="277" t="s">
        <v>122</v>
      </c>
      <c r="D200" s="46" t="s">
        <v>103</v>
      </c>
      <c r="E200" s="562" t="str">
        <f>"(Note "&amp;B$302&amp;")"</f>
        <v>(Note G)</v>
      </c>
      <c r="F200" s="122" t="s">
        <v>123</v>
      </c>
      <c r="G200" s="122"/>
      <c r="H200" s="699">
        <v>9.8500000000000004E-2</v>
      </c>
    </row>
    <row r="201" spans="1:8">
      <c r="A201" s="115"/>
      <c r="B201" s="115"/>
      <c r="C201" s="277"/>
      <c r="F201" s="122"/>
      <c r="G201" s="122"/>
      <c r="H201" s="207"/>
    </row>
    <row r="202" spans="1:8">
      <c r="A202" s="115">
        <f>+A200+1</f>
        <v>115</v>
      </c>
      <c r="B202" s="115"/>
      <c r="C202" s="133" t="s">
        <v>124</v>
      </c>
      <c r="D202" s="46" t="s">
        <v>125</v>
      </c>
      <c r="F202" s="122" t="str">
        <f>"(Line "&amp;A194&amp;" * Line "&amp;A198&amp;")"</f>
        <v>(Line 109 * Line 112)</v>
      </c>
      <c r="G202" s="640"/>
      <c r="H202" s="639">
        <f>H194*H198</f>
        <v>2.1786022016419149E-2</v>
      </c>
    </row>
    <row r="203" spans="1:8">
      <c r="A203" s="115">
        <f>+A202+1</f>
        <v>116</v>
      </c>
      <c r="B203" s="115"/>
      <c r="C203" s="133" t="s">
        <v>126</v>
      </c>
      <c r="D203" s="46" t="s">
        <v>114</v>
      </c>
      <c r="F203" s="122" t="str">
        <f>"(Line "&amp;A195&amp;" * Line "&amp;A199&amp;")"</f>
        <v>(Line 110 * Line 113)</v>
      </c>
      <c r="G203" s="207"/>
      <c r="H203" s="639">
        <f>H195*H199</f>
        <v>0</v>
      </c>
    </row>
    <row r="204" spans="1:8">
      <c r="A204" s="115">
        <f>+A203+1</f>
        <v>117</v>
      </c>
      <c r="B204" s="596"/>
      <c r="C204" s="595" t="s">
        <v>127</v>
      </c>
      <c r="D204" s="572" t="s">
        <v>103</v>
      </c>
      <c r="E204" s="596"/>
      <c r="F204" s="125" t="str">
        <f>"(Line "&amp;A196&amp;" * Line "&amp;A200&amp;")"</f>
        <v>(Line 111 * Line 114)</v>
      </c>
      <c r="G204" s="600"/>
      <c r="H204" s="641">
        <f>H196*H200</f>
        <v>4.9451873683883117E-2</v>
      </c>
    </row>
    <row r="205" spans="1:8" s="346" customFormat="1" ht="15">
      <c r="A205" s="115">
        <f>+A204+1</f>
        <v>118</v>
      </c>
      <c r="B205" s="132" t="s">
        <v>128</v>
      </c>
      <c r="C205" s="132"/>
      <c r="D205" s="132"/>
      <c r="E205" s="44"/>
      <c r="F205" s="122" t="str">
        <f>"(Lines "&amp;A202&amp;" + "&amp;A203&amp;" + "&amp;A204&amp;")"</f>
        <v>(Lines 115 + 116 + 117)</v>
      </c>
      <c r="G205" s="642"/>
      <c r="H205" s="643">
        <f>SUM(H202:H204)</f>
        <v>7.123789570030227E-2</v>
      </c>
    </row>
    <row r="206" spans="1:8" s="346" customFormat="1" ht="15">
      <c r="A206" s="44"/>
      <c r="B206" s="44"/>
      <c r="C206" s="132"/>
      <c r="D206" s="132"/>
      <c r="E206" s="44"/>
      <c r="F206" s="635"/>
      <c r="G206" s="642"/>
      <c r="H206" s="644"/>
    </row>
    <row r="207" spans="1:8" ht="15.75" thickBot="1">
      <c r="A207" s="115">
        <f>+A205+1</f>
        <v>119</v>
      </c>
      <c r="B207" s="645" t="s">
        <v>129</v>
      </c>
      <c r="C207" s="625"/>
      <c r="D207" s="614"/>
      <c r="E207" s="646"/>
      <c r="F207" s="627" t="str">
        <f>"(Line "&amp;A114&amp;" * Line "&amp;A205&amp;")"</f>
        <v>(Line 59 * Line 118)</v>
      </c>
      <c r="G207" s="647"/>
      <c r="H207" s="617">
        <f>H114*H205</f>
        <v>11013073.769976063</v>
      </c>
    </row>
    <row r="208" spans="1:8" ht="15">
      <c r="A208" s="555" t="s">
        <v>130</v>
      </c>
      <c r="B208" s="556"/>
      <c r="C208" s="618"/>
      <c r="D208" s="557"/>
      <c r="E208" s="632"/>
      <c r="F208" s="557"/>
      <c r="G208" s="557"/>
      <c r="H208" s="559"/>
    </row>
    <row r="209" spans="1:8" ht="15">
      <c r="A209" s="115" t="s">
        <v>131</v>
      </c>
      <c r="B209" s="289" t="s">
        <v>132</v>
      </c>
      <c r="E209" s="158"/>
      <c r="F209" s="122"/>
      <c r="G209" s="648"/>
    </row>
    <row r="210" spans="1:8">
      <c r="A210" s="115">
        <f>+A207+1</f>
        <v>120</v>
      </c>
      <c r="B210" s="115"/>
      <c r="C210" s="46" t="s">
        <v>133</v>
      </c>
      <c r="E210" s="562"/>
      <c r="H210" s="649">
        <v>0.21</v>
      </c>
    </row>
    <row r="211" spans="1:8">
      <c r="A211" s="115">
        <f>+A210+1</f>
        <v>121</v>
      </c>
      <c r="B211" s="115"/>
      <c r="C211" s="46" t="s">
        <v>134</v>
      </c>
      <c r="D211" s="291"/>
      <c r="F211" s="122" t="str">
        <f>"(Attachment 4, Line "&amp;'4 - Cost Support'!A153&amp;")"</f>
        <v>(Attachment 4, Line 65)</v>
      </c>
      <c r="H211" s="650">
        <f>+'4 - Cost Support'!S153</f>
        <v>0</v>
      </c>
    </row>
    <row r="212" spans="1:8">
      <c r="A212" s="115">
        <f>+A211+1</f>
        <v>122</v>
      </c>
      <c r="B212" s="115"/>
      <c r="C212" s="46" t="s">
        <v>135</v>
      </c>
      <c r="D212" s="291"/>
      <c r="F212" s="122" t="str">
        <f>"(Attachment 4, Line "&amp;'4 - Cost Support'!A154&amp;")"</f>
        <v>(Attachment 4, Line 66)</v>
      </c>
      <c r="H212" s="651">
        <f>+'4 - Cost Support'!S154</f>
        <v>1.6899999999999998E-2</v>
      </c>
    </row>
    <row r="213" spans="1:8">
      <c r="A213" s="115">
        <f>+A212+1</f>
        <v>123</v>
      </c>
      <c r="B213" s="115"/>
      <c r="C213" s="46" t="s">
        <v>136</v>
      </c>
      <c r="D213" s="46" t="s">
        <v>137</v>
      </c>
      <c r="F213" s="46" t="s">
        <v>138</v>
      </c>
      <c r="H213" s="649">
        <v>0</v>
      </c>
    </row>
    <row r="214" spans="1:8">
      <c r="A214" s="115">
        <f>+A213+1</f>
        <v>124</v>
      </c>
      <c r="B214" s="115"/>
      <c r="C214" s="46" t="s">
        <v>139</v>
      </c>
      <c r="D214" s="652" t="s">
        <v>140</v>
      </c>
      <c r="H214" s="653">
        <f>+H210+H211+H212-(H211+H212)*H210-(H210*H213*H211)</f>
        <v>0.22335099999999999</v>
      </c>
    </row>
    <row r="215" spans="1:8" s="6" customFormat="1">
      <c r="A215" s="115">
        <f>A214+1</f>
        <v>125</v>
      </c>
      <c r="B215" s="46"/>
      <c r="C215" s="46" t="s">
        <v>141</v>
      </c>
      <c r="D215" s="46"/>
      <c r="E215" s="46"/>
      <c r="F215" s="46"/>
      <c r="G215" s="46"/>
      <c r="H215" s="650">
        <f>H214/(1-H214)</f>
        <v>0.28758293643589317</v>
      </c>
    </row>
    <row r="216" spans="1:8" s="6" customFormat="1">
      <c r="A216" s="115">
        <f>+A215+1</f>
        <v>126</v>
      </c>
      <c r="B216" s="46"/>
      <c r="C216" s="46" t="s">
        <v>142</v>
      </c>
      <c r="D216" s="46"/>
      <c r="E216" s="46"/>
      <c r="F216" s="46"/>
      <c r="G216" s="46"/>
      <c r="H216" s="650">
        <f>1/(1-H214)</f>
        <v>1.2875829364358931</v>
      </c>
    </row>
    <row r="217" spans="1:8">
      <c r="A217" s="115"/>
      <c r="B217" s="115"/>
      <c r="E217" s="584"/>
      <c r="G217" s="648"/>
      <c r="H217" s="653"/>
    </row>
    <row r="218" spans="1:8" ht="15">
      <c r="A218" s="115"/>
      <c r="B218" s="289" t="s">
        <v>143</v>
      </c>
      <c r="E218" s="562"/>
      <c r="G218" s="648"/>
      <c r="H218" s="654"/>
    </row>
    <row r="219" spans="1:8">
      <c r="A219" s="115">
        <f>+A216+1</f>
        <v>127</v>
      </c>
      <c r="B219" s="115"/>
      <c r="C219" s="46" t="s">
        <v>144</v>
      </c>
      <c r="D219" s="158"/>
      <c r="E219" s="562"/>
      <c r="F219" s="122" t="str">
        <f>"(Attachment 4, Line "&amp;'4 - Cost Support'!A161&amp;")"</f>
        <v>(Attachment 4, Line 68)</v>
      </c>
      <c r="G219" s="648"/>
      <c r="H219" s="122">
        <f>'4 - Cost Support'!S161</f>
        <v>-64559</v>
      </c>
    </row>
    <row r="220" spans="1:8">
      <c r="A220" s="115">
        <f t="shared" ref="A220:A225" si="5">+A219+1</f>
        <v>128</v>
      </c>
      <c r="B220" s="115"/>
      <c r="C220" s="46" t="s">
        <v>145</v>
      </c>
      <c r="D220" s="158"/>
      <c r="E220" s="562"/>
      <c r="F220" s="122" t="str">
        <f>"(Attachment 4, Line "&amp;'4 - Cost Support'!A160&amp;")"</f>
        <v>(Attachment 4, Line 67)</v>
      </c>
      <c r="G220" s="648"/>
      <c r="H220" s="122">
        <f>'4 - Cost Support'!S160</f>
        <v>-119641</v>
      </c>
    </row>
    <row r="221" spans="1:8">
      <c r="A221" s="115">
        <f t="shared" si="5"/>
        <v>129</v>
      </c>
      <c r="B221" s="115"/>
      <c r="C221" s="595" t="s">
        <v>28</v>
      </c>
      <c r="D221" s="595"/>
      <c r="E221" s="596"/>
      <c r="F221" s="572" t="str">
        <f>"(Line "&amp;A$16&amp;")"</f>
        <v>(Line 5)</v>
      </c>
      <c r="G221" s="597"/>
      <c r="H221" s="608">
        <f>+H16</f>
        <v>0.15894128950099584</v>
      </c>
    </row>
    <row r="222" spans="1:8">
      <c r="A222" s="115">
        <f t="shared" si="5"/>
        <v>130</v>
      </c>
      <c r="B222" s="115"/>
      <c r="C222" s="46" t="s">
        <v>146</v>
      </c>
      <c r="F222" s="122" t="str">
        <f>"(Line "&amp;A220&amp;" * Line "&amp;A221&amp;")"</f>
        <v>(Line 128 * Line 129)</v>
      </c>
      <c r="G222" s="593"/>
      <c r="H222" s="204">
        <f>+H220*H221</f>
        <v>-19015.894817188644</v>
      </c>
    </row>
    <row r="223" spans="1:8">
      <c r="A223" s="115">
        <f t="shared" si="5"/>
        <v>131</v>
      </c>
      <c r="B223" s="115"/>
      <c r="C223" s="46" t="s">
        <v>147</v>
      </c>
      <c r="F223" s="122" t="str">
        <f>"(Line "&amp;A219&amp;" + Line "&amp;A222&amp;")"</f>
        <v>(Line 127 + Line 130)</v>
      </c>
      <c r="G223" s="593"/>
      <c r="H223" s="204">
        <f>+H219+H222</f>
        <v>-83574.894817188644</v>
      </c>
    </row>
    <row r="224" spans="1:8">
      <c r="A224" s="115">
        <f t="shared" si="5"/>
        <v>132</v>
      </c>
      <c r="B224" s="115"/>
      <c r="C224" s="572" t="s">
        <v>142</v>
      </c>
      <c r="D224" s="572"/>
      <c r="E224" s="596"/>
      <c r="F224" s="572" t="str">
        <f>"(Line "&amp;A216&amp;")"</f>
        <v>(Line 126)</v>
      </c>
      <c r="G224" s="655"/>
      <c r="H224" s="656">
        <f>+H216</f>
        <v>1.2875829364358931</v>
      </c>
    </row>
    <row r="225" spans="1:8" ht="15">
      <c r="A225" s="115">
        <f t="shared" si="5"/>
        <v>133</v>
      </c>
      <c r="B225" s="115"/>
      <c r="C225" s="116" t="s">
        <v>148</v>
      </c>
      <c r="E225" s="562"/>
      <c r="F225" s="122" t="str">
        <f>"(Line "&amp;A223&amp;" * Line "&amp;A224&amp;")"</f>
        <v>(Line 131 * Line 132)</v>
      </c>
      <c r="G225" s="593"/>
      <c r="H225" s="624">
        <f>+H223*H224</f>
        <v>-107609.60848103666</v>
      </c>
    </row>
    <row r="226" spans="1:8" ht="15">
      <c r="A226" s="115"/>
      <c r="B226" s="115"/>
      <c r="C226" s="116"/>
      <c r="E226" s="562"/>
      <c r="F226" s="122"/>
      <c r="G226" s="593"/>
      <c r="H226" s="624"/>
    </row>
    <row r="227" spans="1:8" ht="15">
      <c r="A227" s="115"/>
      <c r="B227" s="116" t="s">
        <v>149</v>
      </c>
      <c r="C227" s="116"/>
      <c r="E227" s="562"/>
      <c r="F227" s="122"/>
      <c r="G227" s="593"/>
      <c r="H227" s="624"/>
    </row>
    <row r="228" spans="1:8">
      <c r="A228" s="115">
        <f>+A225+1</f>
        <v>134</v>
      </c>
      <c r="B228" s="115"/>
      <c r="C228" s="46" t="s">
        <v>149</v>
      </c>
      <c r="D228" s="158"/>
      <c r="E228" s="562"/>
      <c r="F228" s="122" t="str">
        <f>"(Attachment 4, Line "&amp;'4 - Cost Support'!A162&amp;")"</f>
        <v>(Attachment 4, Line 69)</v>
      </c>
      <c r="G228" s="648"/>
      <c r="H228" s="122">
        <f>+'4 - Cost Support'!S162</f>
        <v>232055</v>
      </c>
    </row>
    <row r="229" spans="1:8">
      <c r="A229" s="115">
        <f>+A228+1</f>
        <v>135</v>
      </c>
      <c r="B229" s="115"/>
      <c r="C229" s="133" t="s">
        <v>150</v>
      </c>
      <c r="D229" s="158"/>
      <c r="E229" s="562"/>
      <c r="F229" s="122" t="str">
        <f>"(Line "&amp;A214&amp;" * Line "&amp;A228&amp;")"</f>
        <v>(Line 124 * Line 134)</v>
      </c>
      <c r="G229" s="648"/>
      <c r="H229" s="122">
        <f>+H228*H214</f>
        <v>51829.716305000002</v>
      </c>
    </row>
    <row r="230" spans="1:8">
      <c r="A230" s="115">
        <f>+A229+1</f>
        <v>136</v>
      </c>
      <c r="B230" s="115"/>
      <c r="C230" s="46" t="s">
        <v>142</v>
      </c>
      <c r="E230" s="596"/>
      <c r="F230" s="572" t="str">
        <f>"(Line "&amp;A216&amp;")"</f>
        <v>(Line 126)</v>
      </c>
      <c r="G230" s="648"/>
      <c r="H230" s="650">
        <f>+H216</f>
        <v>1.2875829364358931</v>
      </c>
    </row>
    <row r="231" spans="1:8" ht="15">
      <c r="A231" s="115">
        <f>+A230+1</f>
        <v>137</v>
      </c>
      <c r="B231" s="115"/>
      <c r="C231" s="657" t="s">
        <v>151</v>
      </c>
      <c r="D231" s="563"/>
      <c r="E231" s="562"/>
      <c r="F231" s="122" t="str">
        <f>"(Line "&amp;A229&amp;" * Line "&amp;A230&amp;")"</f>
        <v>(Line 135 * Line 136)</v>
      </c>
      <c r="G231" s="601"/>
      <c r="H231" s="622">
        <f>+H229*H230</f>
        <v>66735.058314631184</v>
      </c>
    </row>
    <row r="232" spans="1:8" ht="15">
      <c r="A232" s="115"/>
      <c r="B232" s="115"/>
      <c r="C232" s="116"/>
      <c r="E232" s="562"/>
      <c r="F232" s="122"/>
      <c r="G232" s="593"/>
      <c r="H232" s="624"/>
    </row>
    <row r="233" spans="1:8" ht="15">
      <c r="A233" s="115"/>
      <c r="B233" s="116" t="s">
        <v>152</v>
      </c>
      <c r="C233" s="116"/>
      <c r="E233" s="562"/>
      <c r="F233" s="122"/>
      <c r="G233" s="593"/>
      <c r="H233" s="624"/>
    </row>
    <row r="234" spans="1:8">
      <c r="A234" s="115">
        <f>+A231+1</f>
        <v>138</v>
      </c>
      <c r="B234" s="115"/>
      <c r="C234" s="133" t="s">
        <v>153</v>
      </c>
      <c r="E234" s="562" t="str">
        <f>"(Note "&amp;B309&amp;")"</f>
        <v>(Note N)</v>
      </c>
      <c r="F234" s="122" t="str">
        <f>"(Attachment 4, Line "&amp;'4 - Cost Support'!A203&amp;")"</f>
        <v>(Attachment 4, Line 78)</v>
      </c>
      <c r="G234" s="593"/>
      <c r="H234" s="658">
        <f>+'4 - Cost Support'!R203</f>
        <v>-2893498.0321720005</v>
      </c>
    </row>
    <row r="235" spans="1:8">
      <c r="A235" s="115">
        <f>+A234+1</f>
        <v>139</v>
      </c>
      <c r="B235" s="115"/>
      <c r="C235" s="46" t="s">
        <v>142</v>
      </c>
      <c r="E235" s="573"/>
      <c r="F235" s="572" t="str">
        <f>+F224</f>
        <v>(Line 126)</v>
      </c>
      <c r="G235" s="648"/>
      <c r="H235" s="650">
        <f>+H216</f>
        <v>1.2875829364358931</v>
      </c>
    </row>
    <row r="236" spans="1:8" ht="15">
      <c r="A236" s="115">
        <f>+A235+1</f>
        <v>140</v>
      </c>
      <c r="B236" s="115"/>
      <c r="C236" s="657" t="s">
        <v>154</v>
      </c>
      <c r="D236" s="563"/>
      <c r="E236" s="562"/>
      <c r="F236" s="122" t="str">
        <f>"(Line "&amp;A234&amp;" * Line "&amp;A235&amp;")"</f>
        <v>(Line 138 * Line 139)</v>
      </c>
      <c r="G236" s="601"/>
      <c r="H236" s="622">
        <f>+H234*H235</f>
        <v>-3725618.6928355028</v>
      </c>
    </row>
    <row r="237" spans="1:8" ht="82.5" customHeight="1">
      <c r="A237" s="115">
        <f>+A236+1</f>
        <v>141</v>
      </c>
      <c r="B237" s="132" t="s">
        <v>155</v>
      </c>
      <c r="D237" s="637" t="s">
        <v>156</v>
      </c>
      <c r="E237" s="158"/>
      <c r="F237" s="60" t="str">
        <f>"(Line "&amp;A215&amp;" * Line "&amp;A114&amp;" * (Line "&amp;A203&amp;" + Line "&amp;A204&amp;"))"</f>
        <v>(Line 125 * Line 59 * (Line 116 + Line 117))</v>
      </c>
      <c r="H237" s="624">
        <f>+H215*H114*(H203+H204)</f>
        <v>2198585.3566518137</v>
      </c>
    </row>
    <row r="238" spans="1:8" ht="15.75" thickBot="1">
      <c r="A238" s="115">
        <f>+A237+1</f>
        <v>142</v>
      </c>
      <c r="B238" s="659" t="s">
        <v>157</v>
      </c>
      <c r="C238" s="659"/>
      <c r="D238" s="566"/>
      <c r="E238" s="582"/>
      <c r="F238" s="660" t="str">
        <f>"(Line "&amp;A225&amp;" + Line "&amp;A231&amp;" + Line "&amp;A236&amp;" + Line "&amp;A237&amp;")"</f>
        <v>(Line 133 + Line 137 + Line 140 + Line 141)</v>
      </c>
      <c r="G238" s="661"/>
      <c r="H238" s="662">
        <f>H225+H231+H236+H237</f>
        <v>-1567907.8863500943</v>
      </c>
    </row>
    <row r="239" spans="1:8" ht="15" thickTop="1">
      <c r="A239" s="115"/>
      <c r="B239" s="115"/>
      <c r="C239" s="652"/>
      <c r="F239" s="204"/>
      <c r="G239" s="663"/>
      <c r="H239" s="664"/>
    </row>
    <row r="240" spans="1:8" ht="15">
      <c r="A240" s="555" t="s">
        <v>158</v>
      </c>
      <c r="B240" s="556"/>
      <c r="C240" s="618"/>
      <c r="D240" s="557"/>
      <c r="E240" s="558"/>
      <c r="F240" s="557"/>
      <c r="G240" s="557"/>
      <c r="H240" s="559"/>
    </row>
    <row r="241" spans="1:8" ht="15">
      <c r="A241" s="115"/>
      <c r="H241" s="560"/>
    </row>
    <row r="242" spans="1:8" ht="15">
      <c r="A242" s="115"/>
      <c r="B242" s="132" t="s">
        <v>159</v>
      </c>
    </row>
    <row r="243" spans="1:8">
      <c r="A243" s="115">
        <f>+A238+1</f>
        <v>143</v>
      </c>
      <c r="C243" s="46" t="s">
        <v>160</v>
      </c>
      <c r="F243" s="122" t="str">
        <f>"(Line "&amp;A57&amp;")"</f>
        <v>(Line 29)</v>
      </c>
      <c r="H243" s="204">
        <f>H57</f>
        <v>202231022.28177658</v>
      </c>
    </row>
    <row r="244" spans="1:8">
      <c r="A244" s="115">
        <f>+A243+1</f>
        <v>144</v>
      </c>
      <c r="C244" s="46" t="s">
        <v>70</v>
      </c>
      <c r="F244" s="125" t="str">
        <f>"(Line "&amp;A112&amp;")"</f>
        <v>(Line 58)</v>
      </c>
      <c r="H244" s="204">
        <f>H112</f>
        <v>-47635302.381401494</v>
      </c>
    </row>
    <row r="245" spans="1:8" ht="15">
      <c r="A245" s="115">
        <f>+A244+1</f>
        <v>145</v>
      </c>
      <c r="B245" s="115"/>
      <c r="C245" s="605" t="s">
        <v>71</v>
      </c>
      <c r="D245" s="605"/>
      <c r="E245" s="665"/>
      <c r="F245" s="122" t="str">
        <f>"(Line "&amp;A114&amp;")"</f>
        <v>(Line 59)</v>
      </c>
      <c r="G245" s="605"/>
      <c r="H245" s="622">
        <f>SUM(H243:H244)</f>
        <v>154595719.90037507</v>
      </c>
    </row>
    <row r="246" spans="1:8">
      <c r="A246" s="115"/>
      <c r="B246" s="115"/>
      <c r="E246" s="158"/>
      <c r="H246" s="204"/>
    </row>
    <row r="247" spans="1:8">
      <c r="A247" s="115">
        <f>+A245+1</f>
        <v>146</v>
      </c>
      <c r="C247" s="46" t="s">
        <v>161</v>
      </c>
      <c r="F247" s="122" t="str">
        <f>"(Line "&amp;A144&amp;")"</f>
        <v>(Line 78)</v>
      </c>
      <c r="H247" s="204">
        <f>H144</f>
        <v>15781801.695075115</v>
      </c>
    </row>
    <row r="248" spans="1:8">
      <c r="A248" s="115">
        <f>+A247+1</f>
        <v>147</v>
      </c>
      <c r="C248" s="133" t="s">
        <v>95</v>
      </c>
      <c r="F248" s="122" t="str">
        <f>"(Line "&amp;A158&amp;")"</f>
        <v>(Line 86)</v>
      </c>
      <c r="H248" s="204">
        <f>H158</f>
        <v>9550324.6739244312</v>
      </c>
    </row>
    <row r="249" spans="1:8">
      <c r="A249" s="115">
        <f>+A248+1</f>
        <v>148</v>
      </c>
      <c r="B249" s="115"/>
      <c r="C249" s="46" t="s">
        <v>162</v>
      </c>
      <c r="E249" s="158"/>
      <c r="F249" s="122" t="str">
        <f>"(Line "&amp;A164&amp;")"</f>
        <v>(Line 88)</v>
      </c>
      <c r="H249" s="204">
        <f>H164</f>
        <v>11083453.174515588</v>
      </c>
    </row>
    <row r="250" spans="1:8">
      <c r="A250" s="115">
        <f>+A249+1</f>
        <v>149</v>
      </c>
      <c r="B250" s="115"/>
      <c r="C250" s="652" t="s">
        <v>163</v>
      </c>
      <c r="E250" s="158"/>
      <c r="F250" s="122" t="str">
        <f>"(Line "&amp;A207&amp;")"</f>
        <v>(Line 119)</v>
      </c>
      <c r="H250" s="204">
        <f>H207</f>
        <v>11013073.769976063</v>
      </c>
    </row>
    <row r="251" spans="1:8">
      <c r="A251" s="115">
        <f>+A250+1</f>
        <v>150</v>
      </c>
      <c r="B251" s="115"/>
      <c r="C251" s="652" t="s">
        <v>164</v>
      </c>
      <c r="E251" s="158"/>
      <c r="F251" s="122" t="str">
        <f>"(Line "&amp;A238&amp;")"</f>
        <v>(Line 142)</v>
      </c>
      <c r="H251" s="204">
        <f>H238</f>
        <v>-1567907.8863500943</v>
      </c>
    </row>
    <row r="252" spans="1:8">
      <c r="A252" s="115"/>
      <c r="B252" s="115"/>
      <c r="C252" s="652"/>
      <c r="E252" s="158"/>
      <c r="H252" s="204"/>
    </row>
    <row r="253" spans="1:8" ht="15">
      <c r="A253" s="666">
        <f>+A251+1</f>
        <v>151</v>
      </c>
      <c r="B253" s="667"/>
      <c r="C253" s="668" t="s">
        <v>165</v>
      </c>
      <c r="D253" s="668"/>
      <c r="E253" s="669" t="str">
        <f>"(Note "&amp;B316&amp;")"</f>
        <v>(Note U)</v>
      </c>
      <c r="F253" s="670" t="str">
        <f>"(Sum Lines "&amp;A247&amp;" to "&amp;A251&amp;")"</f>
        <v>(Sum Lines 146 to 150)</v>
      </c>
      <c r="G253" s="671"/>
      <c r="H253" s="672">
        <f>SUM(H247:H251)</f>
        <v>45860745.427141108</v>
      </c>
    </row>
    <row r="254" spans="1:8" ht="15">
      <c r="A254" s="44"/>
      <c r="B254" s="115"/>
      <c r="C254" s="132"/>
      <c r="D254" s="132"/>
      <c r="E254" s="274"/>
      <c r="F254" s="635"/>
      <c r="H254" s="624"/>
    </row>
    <row r="255" spans="1:8" ht="15">
      <c r="A255" s="44"/>
      <c r="B255" s="116" t="s">
        <v>166</v>
      </c>
      <c r="C255" s="132"/>
      <c r="D255" s="132"/>
      <c r="E255" s="274"/>
      <c r="F255" s="635"/>
      <c r="H255" s="624"/>
    </row>
    <row r="256" spans="1:8" ht="15">
      <c r="A256" s="115">
        <f>+A253+1</f>
        <v>152</v>
      </c>
      <c r="B256" s="115"/>
      <c r="C256" s="46" t="str">
        <f>+C33</f>
        <v>Transmission Plant In Service</v>
      </c>
      <c r="D256" s="132"/>
      <c r="E256" s="274"/>
      <c r="F256" s="122" t="str">
        <f>"(Line "&amp;A33&amp;")"</f>
        <v>(Line 13)</v>
      </c>
      <c r="H256" s="204">
        <f>H33</f>
        <v>434260783.35384619</v>
      </c>
    </row>
    <row r="257" spans="1:8" ht="15">
      <c r="A257" s="115">
        <f>+A256+1</f>
        <v>153</v>
      </c>
      <c r="B257" s="115"/>
      <c r="C257" s="572" t="s">
        <v>167</v>
      </c>
      <c r="D257" s="607"/>
      <c r="E257" s="573" t="str">
        <f>"(Note "&amp;B$296&amp;" &amp; "&amp;B$304&amp;")"</f>
        <v>(Note A &amp; I)</v>
      </c>
      <c r="F257" s="125" t="str">
        <f>"(Attachment 4, Line "&amp;'4 - Cost Support'!A168&amp;")"</f>
        <v>(Attachment 4, Line 70)</v>
      </c>
      <c r="G257" s="572"/>
      <c r="H257" s="600">
        <f>+'4 - Cost Support'!T168</f>
        <v>2461408</v>
      </c>
    </row>
    <row r="258" spans="1:8" ht="15">
      <c r="A258" s="115">
        <f>+A257+1</f>
        <v>154</v>
      </c>
      <c r="B258" s="115"/>
      <c r="C258" s="46" t="s">
        <v>168</v>
      </c>
      <c r="D258" s="132"/>
      <c r="E258" s="274"/>
      <c r="F258" s="122" t="str">
        <f>"(Line "&amp;A256&amp;" - Line "&amp;A257&amp;")"</f>
        <v>(Line 152 - Line 153)</v>
      </c>
      <c r="H258" s="204">
        <f>H256-H257</f>
        <v>431799375.35384619</v>
      </c>
    </row>
    <row r="259" spans="1:8" ht="15">
      <c r="A259" s="115">
        <f>+A258+1</f>
        <v>155</v>
      </c>
      <c r="B259" s="115"/>
      <c r="C259" s="46" t="s">
        <v>169</v>
      </c>
      <c r="D259" s="132"/>
      <c r="E259" s="274"/>
      <c r="F259" s="122" t="str">
        <f>"(Line "&amp;A258&amp;" / Line "&amp;A256&amp;")"</f>
        <v>(Line 154 / Line 152)</v>
      </c>
      <c r="H259" s="585">
        <f>H258/H256</f>
        <v>0.994331958826698</v>
      </c>
    </row>
    <row r="260" spans="1:8" ht="15">
      <c r="A260" s="115">
        <f>+A259+1</f>
        <v>156</v>
      </c>
      <c r="B260" s="115"/>
      <c r="C260" s="572" t="s">
        <v>170</v>
      </c>
      <c r="D260" s="607"/>
      <c r="E260" s="673"/>
      <c r="F260" s="125" t="str">
        <f>"(Line "&amp;A253&amp;")"</f>
        <v>(Line 151)</v>
      </c>
      <c r="G260" s="572"/>
      <c r="H260" s="600">
        <f>H253</f>
        <v>45860745.427141108</v>
      </c>
    </row>
    <row r="261" spans="1:8" ht="15">
      <c r="A261" s="115">
        <f>+A260+1</f>
        <v>157</v>
      </c>
      <c r="B261" s="115"/>
      <c r="C261" s="132" t="s">
        <v>171</v>
      </c>
      <c r="D261" s="132"/>
      <c r="E261" s="274"/>
      <c r="F261" s="122" t="str">
        <f>"(Line "&amp;A259&amp;" * Line "&amp;A260&amp;")"</f>
        <v>(Line 155 * Line 156)</v>
      </c>
      <c r="H261" s="624">
        <f>H259*H260</f>
        <v>45600804.833821751</v>
      </c>
    </row>
    <row r="262" spans="1:8" ht="15">
      <c r="A262" s="588"/>
      <c r="B262" s="115"/>
      <c r="E262" s="158"/>
      <c r="H262" s="634"/>
    </row>
    <row r="263" spans="1:8" ht="15">
      <c r="A263" s="588"/>
      <c r="B263" s="116" t="s">
        <v>172</v>
      </c>
      <c r="E263" s="158"/>
      <c r="H263" s="634"/>
    </row>
    <row r="264" spans="1:8" ht="15">
      <c r="A264" s="115">
        <f>+A261+1</f>
        <v>158</v>
      </c>
      <c r="C264" s="116" t="s">
        <v>173</v>
      </c>
      <c r="D264" s="629"/>
      <c r="E264" s="562"/>
      <c r="F264" s="122" t="str">
        <f>"(Attachment 3, Line "&amp;'3 - Revenue Credits'!A34&amp;")"</f>
        <v>(Attachment 3, Line 17)</v>
      </c>
      <c r="H264" s="204">
        <f>+'3 - Revenue Credits'!D34</f>
        <v>-2052577</v>
      </c>
    </row>
    <row r="265" spans="1:8" ht="15.75" thickBot="1">
      <c r="A265" s="115"/>
      <c r="B265" s="115"/>
      <c r="F265" s="674"/>
      <c r="H265" s="634"/>
    </row>
    <row r="266" spans="1:8" s="346" customFormat="1" ht="15.75" thickBot="1">
      <c r="A266" s="675">
        <f>+A264+1</f>
        <v>159</v>
      </c>
      <c r="B266" s="676"/>
      <c r="C266" s="677" t="s">
        <v>174</v>
      </c>
      <c r="D266" s="678"/>
      <c r="E266" s="679"/>
      <c r="F266" s="678" t="str">
        <f>"(Line "&amp;A261&amp;" + Line "&amp;A264&amp;")"</f>
        <v>(Line 157 + Line 158)</v>
      </c>
      <c r="G266" s="676"/>
      <c r="H266" s="680">
        <f>H261+H264</f>
        <v>43548227.833821751</v>
      </c>
    </row>
    <row r="267" spans="1:8" s="346" customFormat="1" ht="15">
      <c r="A267" s="44"/>
      <c r="B267" s="132"/>
      <c r="C267" s="116"/>
      <c r="D267" s="635"/>
      <c r="E267" s="44"/>
      <c r="F267" s="635"/>
      <c r="G267" s="132"/>
      <c r="H267" s="624"/>
    </row>
    <row r="268" spans="1:8" s="346" customFormat="1" ht="15">
      <c r="A268" s="555" t="s">
        <v>175</v>
      </c>
      <c r="B268" s="556"/>
      <c r="C268" s="618"/>
      <c r="D268" s="557"/>
      <c r="E268" s="558"/>
      <c r="F268" s="557"/>
      <c r="G268" s="557"/>
      <c r="H268" s="559"/>
    </row>
    <row r="269" spans="1:8" ht="15">
      <c r="A269" s="588"/>
      <c r="B269" s="115"/>
      <c r="H269" s="634"/>
    </row>
    <row r="270" spans="1:8" ht="15">
      <c r="A270" s="115"/>
      <c r="B270" s="132" t="s">
        <v>176</v>
      </c>
      <c r="H270" s="634"/>
    </row>
    <row r="271" spans="1:8" ht="15">
      <c r="A271" s="115">
        <f>+A266+1</f>
        <v>160</v>
      </c>
      <c r="B271" s="115"/>
      <c r="C271" s="46" t="str">
        <f>+C260</f>
        <v>Gross Revenue Requirement</v>
      </c>
      <c r="F271" s="46" t="str">
        <f>"(Line "&amp;A253&amp;")"</f>
        <v>(Line 151)</v>
      </c>
      <c r="H271" s="624">
        <f>+H253</f>
        <v>45860745.427141108</v>
      </c>
    </row>
    <row r="272" spans="1:8" ht="15">
      <c r="A272" s="115">
        <f>+A271+1</f>
        <v>161</v>
      </c>
      <c r="B272" s="115"/>
      <c r="C272" s="46" t="s">
        <v>177</v>
      </c>
      <c r="F272" s="46" t="str">
        <f>"(Line "&amp;A33&amp;" + Line "&amp;A46&amp;" + Line "&amp;A68&amp;")"</f>
        <v>(Line 13 + Line 21 + Line 32)</v>
      </c>
      <c r="H272" s="624">
        <f>+H33+H46+H68</f>
        <v>215028556.68153852</v>
      </c>
    </row>
    <row r="273" spans="1:8" ht="15">
      <c r="A273" s="115">
        <f>+A272+1</f>
        <v>162</v>
      </c>
      <c r="B273" s="115"/>
      <c r="C273" s="46" t="s">
        <v>178</v>
      </c>
      <c r="F273" s="46" t="str">
        <f>"(Line "&amp;A271&amp;" / Line "&amp;A272&amp;")"</f>
        <v>(Line 160 / Line 161)</v>
      </c>
      <c r="H273" s="681">
        <f>H271/H272</f>
        <v>0.21327746479302173</v>
      </c>
    </row>
    <row r="274" spans="1:8" ht="15">
      <c r="A274" s="115">
        <f>+A273+1</f>
        <v>163</v>
      </c>
      <c r="B274" s="115"/>
      <c r="C274" s="46" t="s">
        <v>179</v>
      </c>
      <c r="F274" s="46" t="str">
        <f>"(Line "&amp;A271&amp;" - Line "&amp;A149&amp;") / Line "&amp;A272</f>
        <v>(Line 160 - Line 79) / Line 161</v>
      </c>
      <c r="H274" s="681">
        <f>(H271-H149)/H272</f>
        <v>0.17202787851999285</v>
      </c>
    </row>
    <row r="275" spans="1:8" ht="15">
      <c r="A275" s="115">
        <f>+A274+1</f>
        <v>164</v>
      </c>
      <c r="B275" s="115"/>
      <c r="C275" s="46" t="s">
        <v>180</v>
      </c>
      <c r="F275" s="46" t="str">
        <f>"(Line "&amp;A271&amp;" - Line "&amp;A149&amp;" - Line "&amp;A250&amp;" - Line "&amp;A251&amp;") / Line "&amp;A272</f>
        <v>(Line 160 - Line 79 - Line 149 - Line 150) / Line 161</v>
      </c>
      <c r="H275" s="681">
        <f>(H271-H149-H250-H251)/H272</f>
        <v>0.12810270862911904</v>
      </c>
    </row>
    <row r="276" spans="1:8" ht="15">
      <c r="A276" s="115"/>
      <c r="B276" s="115"/>
      <c r="H276" s="634"/>
    </row>
    <row r="277" spans="1:8" ht="15">
      <c r="A277" s="115">
        <f>+A275+1</f>
        <v>165</v>
      </c>
      <c r="B277" s="115"/>
      <c r="C277" s="132" t="s">
        <v>174</v>
      </c>
      <c r="F277" s="46" t="str">
        <f>"(Line "&amp;A266&amp;")"</f>
        <v>(Line 159)</v>
      </c>
      <c r="H277" s="624">
        <f>H266</f>
        <v>43548227.833821751</v>
      </c>
    </row>
    <row r="278" spans="1:8" ht="15">
      <c r="A278" s="115">
        <f t="shared" ref="A278:A283" si="6">+A277+1</f>
        <v>166</v>
      </c>
      <c r="B278" s="115"/>
      <c r="C278" s="46" t="s">
        <v>181</v>
      </c>
      <c r="E278" s="562" t="str">
        <f>"(Note "&amp;B$311&amp;")"</f>
        <v>(Note P)</v>
      </c>
      <c r="F278" s="122" t="str">
        <f>"(Attachment 6A, Line "&amp;'6A - NITS True-Up '!B41&amp;")"</f>
        <v>(Attachment 6A, Line F)</v>
      </c>
      <c r="H278" s="624">
        <f>'6A - NITS True-Up '!I41</f>
        <v>0</v>
      </c>
    </row>
    <row r="279" spans="1:8" ht="15">
      <c r="A279" s="115">
        <f t="shared" si="6"/>
        <v>167</v>
      </c>
      <c r="B279" s="115"/>
      <c r="C279" s="46" t="s">
        <v>182</v>
      </c>
      <c r="E279" s="562"/>
      <c r="F279" s="122" t="str">
        <f>"(Attachment 11, Line "&amp;'11 - Corrections'!A29&amp;")"</f>
        <v>(Attachment 11, Line 11)</v>
      </c>
      <c r="H279" s="624">
        <f>+'11 - Corrections'!F29</f>
        <v>0</v>
      </c>
    </row>
    <row r="280" spans="1:8" ht="23.25" customHeight="1">
      <c r="A280" s="115">
        <f t="shared" si="6"/>
        <v>168</v>
      </c>
      <c r="B280" s="115"/>
      <c r="C280" s="46" t="s">
        <v>183</v>
      </c>
      <c r="E280" s="562" t="str">
        <f>"(Note "&amp;B$312&amp;")"</f>
        <v>(Note Q)</v>
      </c>
      <c r="F280" s="122" t="str">
        <f>"(Attachment 7A, Line "&amp;'7A - Project ROE Adder'!A18&amp;")"</f>
        <v>(Attachment 7A, Line 9)</v>
      </c>
      <c r="H280" s="624">
        <f>+'7A - Project ROE Adder'!E18</f>
        <v>0</v>
      </c>
    </row>
    <row r="281" spans="1:8" ht="15">
      <c r="A281" s="115">
        <f t="shared" si="6"/>
        <v>169</v>
      </c>
      <c r="B281" s="115"/>
      <c r="C281" s="46" t="s">
        <v>788</v>
      </c>
      <c r="E281" s="562" t="str">
        <f>"(Note "&amp;B$313&amp;")"</f>
        <v>(Note R)</v>
      </c>
      <c r="F281" s="122" t="str">
        <f>"(Attachment 7B, Line "&amp;'7B - Schedule 12 Projects'!A28&amp;")"</f>
        <v>(Attachment 7B, Line 12)</v>
      </c>
      <c r="H281" s="624">
        <f>+'7B - Schedule 12 Projects'!G28*-1</f>
        <v>-107580.51016110234</v>
      </c>
    </row>
    <row r="282" spans="1:8" ht="15">
      <c r="A282" s="115">
        <f t="shared" si="6"/>
        <v>170</v>
      </c>
      <c r="B282" s="115"/>
      <c r="C282" s="572" t="s">
        <v>184</v>
      </c>
      <c r="D282" s="682"/>
      <c r="E282" s="573" t="str">
        <f>"(Note "&amp;B$314&amp;")"</f>
        <v>(Note S)</v>
      </c>
      <c r="F282" s="125" t="str">
        <f>"(Attachment 4, Line "&amp;'4 - Cost Support'!A175&amp;")"</f>
        <v>(Attachment 4, Line 71)</v>
      </c>
      <c r="G282" s="572"/>
      <c r="H282" s="683">
        <f>+'4 - Cost Support'!S175</f>
        <v>0</v>
      </c>
    </row>
    <row r="283" spans="1:8" ht="15">
      <c r="A283" s="115">
        <f t="shared" si="6"/>
        <v>171</v>
      </c>
      <c r="B283" s="115"/>
      <c r="C283" s="132" t="s">
        <v>185</v>
      </c>
      <c r="F283" s="46" t="str">
        <f>"(Line "&amp;A277&amp;" + "&amp;A278&amp;" + "&amp;A280&amp;" + "&amp;A281&amp;" + "&amp;A282&amp;")"</f>
        <v>(Line 165 + 166 + 168 + 169 + 170)</v>
      </c>
      <c r="H283" s="624">
        <f>(H277+H278+H280+H281+H282)</f>
        <v>43440647.323660649</v>
      </c>
    </row>
    <row r="284" spans="1:8" ht="15">
      <c r="A284" s="115"/>
      <c r="B284" s="115"/>
      <c r="H284" s="684"/>
    </row>
    <row r="285" spans="1:8" ht="15">
      <c r="A285" s="115"/>
      <c r="B285" s="116" t="s">
        <v>186</v>
      </c>
      <c r="H285" s="684"/>
    </row>
    <row r="286" spans="1:8" ht="15">
      <c r="A286" s="115">
        <f>+A283+1</f>
        <v>172</v>
      </c>
      <c r="B286" s="115"/>
      <c r="C286" s="46" t="s">
        <v>187</v>
      </c>
      <c r="E286" s="562" t="str">
        <f>"(Note "&amp;B$303&amp;")"</f>
        <v>(Note H)</v>
      </c>
      <c r="F286" s="122" t="str">
        <f>"(Attachment 4, Line "&amp;'4 - Cost Support'!A183&amp;")"</f>
        <v>(Attachment 4, Line 72)</v>
      </c>
      <c r="H286" s="685">
        <f>+'4 - Cost Support'!S183</f>
        <v>3258.6</v>
      </c>
    </row>
    <row r="287" spans="1:8" ht="15">
      <c r="A287" s="115">
        <f>+A286+1</f>
        <v>173</v>
      </c>
      <c r="B287" s="115"/>
      <c r="C287" s="46" t="s">
        <v>188</v>
      </c>
      <c r="D287" s="542"/>
      <c r="E287" s="686"/>
      <c r="F287" s="122" t="str">
        <f>"(Line "&amp;A283&amp;" / "&amp;A286&amp;")"</f>
        <v>(Line 171 / 172)</v>
      </c>
      <c r="G287" s="188"/>
      <c r="H287" s="687">
        <f>H283/H286</f>
        <v>13331.076942140997</v>
      </c>
    </row>
    <row r="288" spans="1:8" ht="15.75" thickBot="1">
      <c r="A288" s="115"/>
      <c r="B288" s="115"/>
      <c r="E288" s="686"/>
      <c r="F288" s="188"/>
      <c r="G288" s="188"/>
      <c r="H288" s="688"/>
    </row>
    <row r="289" spans="1:8" ht="15">
      <c r="A289" s="689">
        <f>+A287+1</f>
        <v>174</v>
      </c>
      <c r="B289" s="256"/>
      <c r="C289" s="231" t="s">
        <v>189</v>
      </c>
      <c r="D289" s="256"/>
      <c r="E289" s="256"/>
      <c r="F289" s="232" t="str">
        <f>"(Line "&amp;A287&amp;")"</f>
        <v>(Line 173)</v>
      </c>
      <c r="G289" s="256"/>
      <c r="H289" s="690">
        <f>H287</f>
        <v>13331.076942140997</v>
      </c>
    </row>
    <row r="290" spans="1:8" ht="15">
      <c r="A290" s="691">
        <f>+A289+1</f>
        <v>175</v>
      </c>
      <c r="B290" s="44"/>
      <c r="C290" s="116" t="s">
        <v>190</v>
      </c>
      <c r="D290" s="44"/>
      <c r="E290" s="44"/>
      <c r="F290" s="133" t="str">
        <f>"(Line "&amp;A289&amp;" / 12)"</f>
        <v>(Line 174 / 12)</v>
      </c>
      <c r="G290" s="44"/>
      <c r="H290" s="692">
        <f>+H289/12</f>
        <v>1110.9230785117497</v>
      </c>
    </row>
    <row r="291" spans="1:8" ht="15">
      <c r="A291" s="691">
        <f t="shared" ref="A291:A292" si="7">+A290+1</f>
        <v>176</v>
      </c>
      <c r="B291" s="44"/>
      <c r="C291" s="116" t="s">
        <v>191</v>
      </c>
      <c r="D291" s="44"/>
      <c r="E291" s="44"/>
      <c r="F291" s="133" t="str">
        <f>"(Line "&amp;A289&amp;" / 52)"</f>
        <v>(Line 174 / 52)</v>
      </c>
      <c r="G291" s="44"/>
      <c r="H291" s="692">
        <f>+H289/52</f>
        <v>256.36686427194223</v>
      </c>
    </row>
    <row r="292" spans="1:8" ht="15">
      <c r="A292" s="691">
        <f t="shared" si="7"/>
        <v>177</v>
      </c>
      <c r="B292" s="44"/>
      <c r="C292" s="116" t="s">
        <v>192</v>
      </c>
      <c r="D292" s="44"/>
      <c r="E292" s="44"/>
      <c r="F292" s="133" t="str">
        <f>"(Line "&amp;A291&amp;" / 5)"</f>
        <v>(Line 176 / 5)</v>
      </c>
      <c r="G292" s="44"/>
      <c r="H292" s="692">
        <f>+H291/5</f>
        <v>51.273372854388448</v>
      </c>
    </row>
    <row r="293" spans="1:8" ht="15.75" thickBot="1">
      <c r="A293" s="693">
        <f>+A292+1</f>
        <v>178</v>
      </c>
      <c r="B293" s="694"/>
      <c r="C293" s="183" t="s">
        <v>193</v>
      </c>
      <c r="D293" s="694"/>
      <c r="E293" s="694"/>
      <c r="F293" s="226" t="str">
        <f>"(Line "&amp;A291&amp;" / 7)"</f>
        <v>(Line 176 / 7)</v>
      </c>
      <c r="G293" s="694"/>
      <c r="H293" s="695">
        <f>+H291/7</f>
        <v>36.623837753134602</v>
      </c>
    </row>
    <row r="294" spans="1:8" ht="15">
      <c r="A294" s="44"/>
      <c r="B294" s="44"/>
      <c r="C294" s="116"/>
      <c r="D294" s="44"/>
      <c r="E294" s="44"/>
      <c r="F294" s="44"/>
      <c r="G294" s="44"/>
      <c r="H294" s="687"/>
    </row>
    <row r="295" spans="1:8" ht="15">
      <c r="A295" s="555" t="s">
        <v>3</v>
      </c>
      <c r="B295" s="556"/>
      <c r="C295" s="618"/>
      <c r="D295" s="557"/>
      <c r="E295" s="558"/>
      <c r="F295" s="557"/>
      <c r="G295" s="557"/>
      <c r="H295" s="559"/>
    </row>
    <row r="296" spans="1:8" ht="46.5" customHeight="1">
      <c r="A296" s="44"/>
      <c r="B296" s="115" t="s">
        <v>194</v>
      </c>
      <c r="C296" s="46" t="s">
        <v>195</v>
      </c>
      <c r="E296" s="686"/>
      <c r="F296" s="188"/>
      <c r="G296" s="188"/>
      <c r="H296" s="560"/>
    </row>
    <row r="297" spans="1:8" ht="28.5" customHeight="1">
      <c r="A297" s="44"/>
      <c r="B297" s="696" t="s">
        <v>196</v>
      </c>
      <c r="C297" s="706" t="s">
        <v>806</v>
      </c>
      <c r="D297" s="706"/>
      <c r="E297" s="706"/>
      <c r="F297" s="706"/>
      <c r="G297" s="706"/>
      <c r="H297" s="706"/>
    </row>
    <row r="298" spans="1:8" ht="17.25" customHeight="1">
      <c r="A298" s="44"/>
      <c r="B298" s="696" t="s">
        <v>197</v>
      </c>
      <c r="C298" s="46" t="s">
        <v>802</v>
      </c>
      <c r="E298" s="686"/>
      <c r="F298" s="188"/>
      <c r="G298" s="188"/>
      <c r="H298" s="688"/>
    </row>
    <row r="299" spans="1:8" ht="22.5" customHeight="1">
      <c r="A299" s="44"/>
      <c r="B299" s="696" t="s">
        <v>198</v>
      </c>
      <c r="C299" s="46" t="s">
        <v>199</v>
      </c>
      <c r="E299" s="686"/>
      <c r="F299" s="188"/>
      <c r="G299" s="188"/>
      <c r="H299" s="688"/>
    </row>
    <row r="300" spans="1:8" ht="23.25" customHeight="1">
      <c r="A300" s="44"/>
      <c r="B300" s="696" t="s">
        <v>200</v>
      </c>
      <c r="C300" s="706" t="s">
        <v>201</v>
      </c>
      <c r="D300" s="706"/>
      <c r="E300" s="706"/>
      <c r="F300" s="706"/>
      <c r="G300" s="706"/>
      <c r="H300" s="706"/>
    </row>
    <row r="301" spans="1:8" ht="17.25" customHeight="1">
      <c r="A301" s="44"/>
      <c r="B301" s="696" t="s">
        <v>202</v>
      </c>
      <c r="C301" s="46" t="s">
        <v>203</v>
      </c>
      <c r="E301" s="686"/>
      <c r="F301" s="188"/>
      <c r="G301" s="188"/>
      <c r="H301" s="188"/>
    </row>
    <row r="302" spans="1:8" ht="89.25" customHeight="1">
      <c r="A302" s="44"/>
      <c r="B302" s="696" t="s">
        <v>204</v>
      </c>
      <c r="C302" s="706" t="s">
        <v>963</v>
      </c>
      <c r="D302" s="706"/>
      <c r="E302" s="706"/>
      <c r="F302" s="706"/>
      <c r="G302" s="706"/>
      <c r="H302" s="706"/>
    </row>
    <row r="303" spans="1:8" ht="27" customHeight="1">
      <c r="A303" s="44"/>
      <c r="B303" s="696" t="s">
        <v>205</v>
      </c>
      <c r="C303" s="706" t="s">
        <v>810</v>
      </c>
      <c r="D303" s="706"/>
      <c r="E303" s="706"/>
      <c r="F303" s="706"/>
      <c r="G303" s="706"/>
      <c r="H303" s="706"/>
    </row>
    <row r="304" spans="1:8" ht="13.5" customHeight="1">
      <c r="A304" s="115"/>
      <c r="B304" s="696" t="s">
        <v>206</v>
      </c>
      <c r="C304" s="46" t="s">
        <v>797</v>
      </c>
      <c r="E304" s="686"/>
      <c r="F304" s="188"/>
      <c r="G304" s="188"/>
      <c r="H304" s="688"/>
    </row>
    <row r="305" spans="1:8" ht="60.75" customHeight="1">
      <c r="A305" s="697"/>
      <c r="B305" s="696" t="s">
        <v>207</v>
      </c>
      <c r="C305" s="706" t="s">
        <v>799</v>
      </c>
      <c r="D305" s="706"/>
      <c r="E305" s="706"/>
      <c r="F305" s="706"/>
      <c r="G305" s="706"/>
      <c r="H305" s="706"/>
    </row>
    <row r="306" spans="1:8" ht="19.5" customHeight="1">
      <c r="B306" s="696" t="s">
        <v>208</v>
      </c>
      <c r="C306" s="706" t="s">
        <v>209</v>
      </c>
      <c r="D306" s="706"/>
      <c r="E306" s="706"/>
      <c r="F306" s="706"/>
      <c r="G306" s="706"/>
      <c r="H306" s="706"/>
    </row>
    <row r="307" spans="1:8" ht="17.25" customHeight="1">
      <c r="A307" s="44"/>
      <c r="B307" s="696" t="s">
        <v>210</v>
      </c>
      <c r="C307" s="46" t="s">
        <v>211</v>
      </c>
      <c r="E307" s="686"/>
      <c r="F307" s="188"/>
      <c r="G307" s="188"/>
      <c r="H307" s="688"/>
    </row>
    <row r="308" spans="1:8" ht="14.25" customHeight="1">
      <c r="A308" s="336"/>
      <c r="B308" s="696" t="s">
        <v>212</v>
      </c>
      <c r="C308" s="46" t="s">
        <v>213</v>
      </c>
      <c r="E308" s="686"/>
      <c r="F308" s="188"/>
      <c r="G308" s="188"/>
      <c r="H308" s="188"/>
    </row>
    <row r="309" spans="1:8" ht="33" customHeight="1">
      <c r="A309" s="336"/>
      <c r="B309" s="696" t="s">
        <v>214</v>
      </c>
      <c r="C309" s="706" t="s">
        <v>807</v>
      </c>
      <c r="D309" s="706"/>
      <c r="E309" s="706"/>
      <c r="F309" s="706"/>
      <c r="G309" s="706"/>
      <c r="H309" s="706"/>
    </row>
    <row r="310" spans="1:8" ht="46.5" customHeight="1">
      <c r="A310" s="336"/>
      <c r="B310" s="696" t="s">
        <v>215</v>
      </c>
      <c r="C310" s="706" t="s">
        <v>936</v>
      </c>
      <c r="D310" s="706"/>
      <c r="E310" s="706"/>
      <c r="F310" s="706"/>
      <c r="G310" s="706"/>
      <c r="H310" s="706"/>
    </row>
    <row r="311" spans="1:8" ht="20.25" customHeight="1">
      <c r="A311" s="336"/>
      <c r="B311" s="696" t="s">
        <v>216</v>
      </c>
      <c r="C311" s="706" t="s">
        <v>964</v>
      </c>
      <c r="D311" s="706"/>
      <c r="E311" s="706"/>
      <c r="F311" s="706"/>
      <c r="G311" s="706"/>
      <c r="H311" s="706"/>
    </row>
    <row r="312" spans="1:8" ht="15.75" customHeight="1">
      <c r="A312" s="336"/>
      <c r="B312" s="696" t="s">
        <v>217</v>
      </c>
      <c r="C312" s="46" t="s">
        <v>798</v>
      </c>
    </row>
    <row r="313" spans="1:8" ht="33" customHeight="1">
      <c r="B313" s="696" t="s">
        <v>218</v>
      </c>
      <c r="C313" s="706" t="s">
        <v>1021</v>
      </c>
      <c r="D313" s="706"/>
      <c r="E313" s="706"/>
      <c r="F313" s="706"/>
      <c r="G313" s="706"/>
      <c r="H313" s="706"/>
    </row>
    <row r="314" spans="1:8" ht="16.5" customHeight="1">
      <c r="B314" s="696" t="s">
        <v>219</v>
      </c>
      <c r="C314" s="46" t="s">
        <v>220</v>
      </c>
    </row>
    <row r="315" spans="1:8" ht="17.25" customHeight="1">
      <c r="B315" s="696" t="s">
        <v>222</v>
      </c>
      <c r="C315" s="706" t="s">
        <v>937</v>
      </c>
      <c r="D315" s="706"/>
      <c r="E315" s="706"/>
      <c r="F315" s="706"/>
      <c r="G315" s="706"/>
      <c r="H315" s="706"/>
    </row>
    <row r="316" spans="1:8" ht="18.75" customHeight="1">
      <c r="B316" s="696" t="s">
        <v>800</v>
      </c>
      <c r="C316" s="6" t="s">
        <v>801</v>
      </c>
      <c r="G316" s="336"/>
      <c r="H316" s="336"/>
    </row>
    <row r="317" spans="1:8" ht="20.25" customHeight="1">
      <c r="B317" s="696" t="s">
        <v>803</v>
      </c>
      <c r="C317" s="6" t="s">
        <v>823</v>
      </c>
      <c r="G317" s="336"/>
      <c r="H317" s="336"/>
    </row>
    <row r="318" spans="1:8" ht="21" customHeight="1">
      <c r="A318" s="44" t="s">
        <v>221</v>
      </c>
      <c r="B318" s="696" t="s">
        <v>804</v>
      </c>
      <c r="C318" s="707" t="s">
        <v>805</v>
      </c>
      <c r="D318" s="707"/>
      <c r="E318" s="707"/>
      <c r="F318" s="707"/>
      <c r="G318" s="707"/>
      <c r="H318" s="707"/>
    </row>
    <row r="319" spans="1:8">
      <c r="B319" s="698"/>
      <c r="G319" s="336"/>
      <c r="H319" s="336"/>
    </row>
    <row r="320" spans="1:8">
      <c r="G320" s="336"/>
      <c r="H320" s="336"/>
    </row>
    <row r="321" spans="7:8">
      <c r="G321" s="336"/>
      <c r="H321" s="336"/>
    </row>
    <row r="322" spans="7:8">
      <c r="G322" s="336"/>
      <c r="H322" s="336"/>
    </row>
    <row r="323" spans="7:8">
      <c r="G323" s="336"/>
      <c r="H323" s="336"/>
    </row>
    <row r="324" spans="7:8">
      <c r="G324" s="336"/>
      <c r="H324" s="336"/>
    </row>
    <row r="325" spans="7:8">
      <c r="G325" s="336"/>
      <c r="H325" s="336"/>
    </row>
    <row r="326" spans="7:8">
      <c r="G326" s="336"/>
      <c r="H326" s="336"/>
    </row>
    <row r="327" spans="7:8">
      <c r="G327" s="336"/>
      <c r="H327" s="336"/>
    </row>
    <row r="328" spans="7:8">
      <c r="G328" s="336"/>
      <c r="H328" s="336"/>
    </row>
    <row r="329" spans="7:8">
      <c r="G329" s="336"/>
      <c r="H329" s="336"/>
    </row>
    <row r="330" spans="7:8">
      <c r="G330" s="336"/>
      <c r="H330" s="336"/>
    </row>
    <row r="331" spans="7:8">
      <c r="G331" s="336"/>
      <c r="H331" s="336"/>
    </row>
    <row r="332" spans="7:8">
      <c r="G332" s="336"/>
      <c r="H332" s="336"/>
    </row>
    <row r="333" spans="7:8">
      <c r="G333" s="336"/>
      <c r="H333" s="336"/>
    </row>
    <row r="334" spans="7:8">
      <c r="G334" s="336"/>
      <c r="H334" s="336"/>
    </row>
    <row r="335" spans="7:8">
      <c r="G335" s="336"/>
      <c r="H335" s="336"/>
    </row>
    <row r="336" spans="7:8">
      <c r="G336" s="336"/>
      <c r="H336" s="336"/>
    </row>
    <row r="337" spans="7:8">
      <c r="G337" s="336"/>
      <c r="H337" s="336"/>
    </row>
    <row r="338" spans="7:8">
      <c r="G338" s="336"/>
      <c r="H338" s="336"/>
    </row>
    <row r="339" spans="7:8">
      <c r="G339" s="336"/>
      <c r="H339" s="336"/>
    </row>
    <row r="340" spans="7:8">
      <c r="G340" s="336"/>
      <c r="H340" s="336"/>
    </row>
    <row r="341" spans="7:8">
      <c r="G341" s="336"/>
      <c r="H341" s="336"/>
    </row>
    <row r="342" spans="7:8">
      <c r="G342" s="336"/>
      <c r="H342" s="336"/>
    </row>
    <row r="343" spans="7:8">
      <c r="G343" s="336"/>
      <c r="H343" s="336"/>
    </row>
    <row r="344" spans="7:8">
      <c r="G344" s="336"/>
      <c r="H344" s="336"/>
    </row>
    <row r="345" spans="7:8">
      <c r="G345" s="336"/>
      <c r="H345" s="336"/>
    </row>
    <row r="346" spans="7:8">
      <c r="G346" s="336"/>
      <c r="H346" s="336"/>
    </row>
    <row r="347" spans="7:8">
      <c r="G347" s="336"/>
      <c r="H347" s="336"/>
    </row>
    <row r="348" spans="7:8">
      <c r="G348" s="336"/>
      <c r="H348" s="336"/>
    </row>
    <row r="349" spans="7:8">
      <c r="G349" s="336"/>
      <c r="H349" s="336"/>
    </row>
    <row r="350" spans="7:8">
      <c r="G350" s="336"/>
      <c r="H350" s="336"/>
    </row>
    <row r="351" spans="7:8">
      <c r="G351" s="336"/>
      <c r="H351" s="336"/>
    </row>
    <row r="352" spans="7:8">
      <c r="G352" s="336"/>
      <c r="H352" s="336"/>
    </row>
    <row r="353" spans="7:8">
      <c r="G353" s="336"/>
      <c r="H353" s="336"/>
    </row>
    <row r="354" spans="7:8">
      <c r="G354" s="336"/>
      <c r="H354" s="336"/>
    </row>
    <row r="355" spans="7:8">
      <c r="G355" s="336"/>
      <c r="H355" s="336"/>
    </row>
    <row r="356" spans="7:8">
      <c r="G356" s="336"/>
      <c r="H356" s="336"/>
    </row>
    <row r="357" spans="7:8">
      <c r="G357" s="336"/>
      <c r="H357" s="336"/>
    </row>
    <row r="358" spans="7:8">
      <c r="G358" s="336"/>
      <c r="H358" s="336"/>
    </row>
    <row r="359" spans="7:8">
      <c r="G359" s="336"/>
      <c r="H359" s="336"/>
    </row>
    <row r="360" spans="7:8">
      <c r="G360" s="336"/>
      <c r="H360" s="336"/>
    </row>
    <row r="361" spans="7:8">
      <c r="G361" s="336"/>
      <c r="H361" s="336"/>
    </row>
    <row r="362" spans="7:8">
      <c r="G362" s="336"/>
      <c r="H362" s="336"/>
    </row>
    <row r="363" spans="7:8">
      <c r="G363" s="336"/>
      <c r="H363" s="336"/>
    </row>
    <row r="364" spans="7:8">
      <c r="G364" s="336"/>
      <c r="H364" s="336"/>
    </row>
    <row r="365" spans="7:8">
      <c r="G365" s="336"/>
      <c r="H365" s="336"/>
    </row>
    <row r="366" spans="7:8">
      <c r="G366" s="336"/>
      <c r="H366" s="336"/>
    </row>
    <row r="367" spans="7:8">
      <c r="G367" s="336"/>
      <c r="H367" s="336"/>
    </row>
    <row r="368" spans="7:8">
      <c r="G368" s="336"/>
      <c r="H368" s="336"/>
    </row>
    <row r="369" spans="7:8">
      <c r="G369" s="336"/>
      <c r="H369" s="336"/>
    </row>
    <row r="370" spans="7:8">
      <c r="G370" s="336"/>
      <c r="H370" s="336"/>
    </row>
    <row r="371" spans="7:8">
      <c r="G371" s="336"/>
      <c r="H371" s="336"/>
    </row>
    <row r="372" spans="7:8">
      <c r="G372" s="336"/>
      <c r="H372" s="336"/>
    </row>
    <row r="373" spans="7:8">
      <c r="G373" s="336"/>
      <c r="H373" s="336"/>
    </row>
    <row r="374" spans="7:8">
      <c r="G374" s="336"/>
      <c r="H374" s="336"/>
    </row>
    <row r="375" spans="7:8">
      <c r="G375" s="336"/>
      <c r="H375" s="336"/>
    </row>
    <row r="376" spans="7:8">
      <c r="G376" s="336"/>
      <c r="H376" s="336"/>
    </row>
    <row r="377" spans="7:8">
      <c r="G377" s="336"/>
      <c r="H377" s="336"/>
    </row>
    <row r="378" spans="7:8">
      <c r="G378" s="336"/>
      <c r="H378" s="336"/>
    </row>
    <row r="379" spans="7:8">
      <c r="G379" s="336"/>
      <c r="H379" s="336"/>
    </row>
    <row r="380" spans="7:8">
      <c r="G380" s="336"/>
      <c r="H380" s="336"/>
    </row>
    <row r="381" spans="7:8">
      <c r="G381" s="336"/>
      <c r="H381" s="336"/>
    </row>
    <row r="382" spans="7:8">
      <c r="G382" s="336"/>
      <c r="H382" s="336"/>
    </row>
    <row r="383" spans="7:8">
      <c r="G383" s="336"/>
      <c r="H383" s="336"/>
    </row>
    <row r="384" spans="7:8">
      <c r="G384" s="336"/>
      <c r="H384" s="336"/>
    </row>
    <row r="385" spans="7:8">
      <c r="G385" s="336"/>
      <c r="H385" s="336"/>
    </row>
    <row r="386" spans="7:8">
      <c r="G386" s="336"/>
      <c r="H386" s="336"/>
    </row>
    <row r="387" spans="7:8">
      <c r="G387" s="336"/>
      <c r="H387" s="336"/>
    </row>
    <row r="388" spans="7:8">
      <c r="G388" s="336"/>
      <c r="H388" s="336"/>
    </row>
    <row r="389" spans="7:8">
      <c r="G389" s="336"/>
      <c r="H389" s="336"/>
    </row>
    <row r="390" spans="7:8">
      <c r="G390" s="336"/>
      <c r="H390" s="336"/>
    </row>
    <row r="391" spans="7:8">
      <c r="G391" s="336"/>
      <c r="H391" s="336"/>
    </row>
    <row r="392" spans="7:8">
      <c r="G392" s="336"/>
      <c r="H392" s="336"/>
    </row>
    <row r="393" spans="7:8">
      <c r="G393" s="336"/>
      <c r="H393" s="336"/>
    </row>
    <row r="394" spans="7:8">
      <c r="G394" s="336"/>
      <c r="H394" s="336"/>
    </row>
    <row r="395" spans="7:8">
      <c r="G395" s="336"/>
      <c r="H395" s="336"/>
    </row>
    <row r="396" spans="7:8">
      <c r="G396" s="336"/>
      <c r="H396" s="336"/>
    </row>
    <row r="397" spans="7:8">
      <c r="G397" s="336"/>
      <c r="H397" s="336"/>
    </row>
    <row r="398" spans="7:8">
      <c r="G398" s="336"/>
      <c r="H398" s="336"/>
    </row>
    <row r="399" spans="7:8">
      <c r="G399" s="336"/>
      <c r="H399" s="336"/>
    </row>
    <row r="400" spans="7:8">
      <c r="G400" s="336"/>
      <c r="H400" s="336"/>
    </row>
    <row r="401" spans="7:8">
      <c r="G401" s="336"/>
      <c r="H401" s="336"/>
    </row>
    <row r="402" spans="7:8">
      <c r="G402" s="336"/>
      <c r="H402" s="336"/>
    </row>
    <row r="403" spans="7:8">
      <c r="G403" s="336"/>
      <c r="H403" s="336"/>
    </row>
    <row r="404" spans="7:8">
      <c r="G404" s="336"/>
      <c r="H404" s="336"/>
    </row>
    <row r="405" spans="7:8">
      <c r="G405" s="336"/>
      <c r="H405" s="336"/>
    </row>
    <row r="406" spans="7:8">
      <c r="G406" s="336"/>
      <c r="H406" s="336"/>
    </row>
    <row r="407" spans="7:8">
      <c r="G407" s="336"/>
      <c r="H407" s="336"/>
    </row>
    <row r="408" spans="7:8">
      <c r="G408" s="336"/>
      <c r="H408" s="336"/>
    </row>
    <row r="409" spans="7:8">
      <c r="G409" s="336"/>
      <c r="H409" s="336"/>
    </row>
    <row r="410" spans="7:8">
      <c r="G410" s="336"/>
      <c r="H410" s="336"/>
    </row>
    <row r="411" spans="7:8">
      <c r="G411" s="336"/>
      <c r="H411" s="336"/>
    </row>
    <row r="412" spans="7:8">
      <c r="G412" s="336"/>
      <c r="H412" s="336"/>
    </row>
    <row r="413" spans="7:8">
      <c r="G413" s="336"/>
      <c r="H413" s="336"/>
    </row>
    <row r="414" spans="7:8">
      <c r="G414" s="336"/>
      <c r="H414" s="336"/>
    </row>
    <row r="415" spans="7:8">
      <c r="G415" s="336"/>
      <c r="H415" s="336"/>
    </row>
    <row r="416" spans="7:8">
      <c r="G416" s="336"/>
      <c r="H416" s="336"/>
    </row>
    <row r="417" spans="7:8">
      <c r="G417" s="336"/>
      <c r="H417" s="336"/>
    </row>
    <row r="418" spans="7:8">
      <c r="G418" s="336"/>
      <c r="H418" s="336"/>
    </row>
    <row r="419" spans="7:8">
      <c r="G419" s="336"/>
      <c r="H419" s="336"/>
    </row>
    <row r="420" spans="7:8">
      <c r="G420" s="336"/>
      <c r="H420" s="336"/>
    </row>
    <row r="421" spans="7:8">
      <c r="G421" s="336"/>
      <c r="H421" s="336"/>
    </row>
    <row r="422" spans="7:8">
      <c r="G422" s="336"/>
      <c r="H422" s="336"/>
    </row>
    <row r="423" spans="7:8">
      <c r="G423" s="336"/>
      <c r="H423" s="336"/>
    </row>
    <row r="424" spans="7:8">
      <c r="G424" s="336"/>
      <c r="H424" s="336"/>
    </row>
    <row r="425" spans="7:8">
      <c r="G425" s="336"/>
      <c r="H425" s="336"/>
    </row>
    <row r="426" spans="7:8">
      <c r="G426" s="336"/>
      <c r="H426" s="336"/>
    </row>
    <row r="427" spans="7:8">
      <c r="G427" s="336"/>
      <c r="H427" s="336"/>
    </row>
    <row r="428" spans="7:8">
      <c r="G428" s="336"/>
      <c r="H428" s="336"/>
    </row>
    <row r="429" spans="7:8">
      <c r="G429" s="336"/>
      <c r="H429" s="336"/>
    </row>
    <row r="430" spans="7:8">
      <c r="G430" s="336"/>
      <c r="H430" s="336"/>
    </row>
    <row r="431" spans="7:8">
      <c r="G431" s="336"/>
      <c r="H431" s="336"/>
    </row>
    <row r="432" spans="7:8">
      <c r="G432" s="336"/>
      <c r="H432" s="336"/>
    </row>
    <row r="433" spans="7:8">
      <c r="G433" s="336"/>
      <c r="H433" s="336"/>
    </row>
    <row r="434" spans="7:8">
      <c r="G434" s="336"/>
      <c r="H434" s="336"/>
    </row>
    <row r="435" spans="7:8">
      <c r="G435" s="336"/>
      <c r="H435" s="336"/>
    </row>
    <row r="436" spans="7:8">
      <c r="G436" s="336"/>
      <c r="H436" s="336"/>
    </row>
    <row r="437" spans="7:8">
      <c r="G437" s="336"/>
      <c r="H437" s="336"/>
    </row>
    <row r="438" spans="7:8">
      <c r="G438" s="336"/>
      <c r="H438" s="336"/>
    </row>
    <row r="439" spans="7:8">
      <c r="G439" s="336"/>
      <c r="H439" s="336"/>
    </row>
    <row r="440" spans="7:8">
      <c r="G440" s="336"/>
      <c r="H440" s="336"/>
    </row>
    <row r="441" spans="7:8">
      <c r="G441" s="336"/>
      <c r="H441" s="336"/>
    </row>
    <row r="442" spans="7:8">
      <c r="G442" s="336"/>
      <c r="H442" s="336"/>
    </row>
    <row r="443" spans="7:8">
      <c r="G443" s="336"/>
      <c r="H443" s="336"/>
    </row>
    <row r="444" spans="7:8">
      <c r="G444" s="336"/>
      <c r="H444" s="336"/>
    </row>
    <row r="445" spans="7:8">
      <c r="G445" s="336"/>
      <c r="H445" s="336"/>
    </row>
    <row r="446" spans="7:8">
      <c r="G446" s="336"/>
      <c r="H446" s="336"/>
    </row>
    <row r="447" spans="7:8">
      <c r="G447" s="336"/>
      <c r="H447" s="336"/>
    </row>
    <row r="448" spans="7:8">
      <c r="G448" s="336"/>
      <c r="H448" s="336"/>
    </row>
    <row r="449" spans="7:8">
      <c r="G449" s="336"/>
      <c r="H449" s="336"/>
    </row>
    <row r="450" spans="7:8">
      <c r="G450" s="336"/>
      <c r="H450" s="336"/>
    </row>
    <row r="451" spans="7:8">
      <c r="G451" s="336"/>
      <c r="H451" s="336"/>
    </row>
    <row r="452" spans="7:8">
      <c r="G452" s="336"/>
      <c r="H452" s="336"/>
    </row>
    <row r="453" spans="7:8">
      <c r="G453" s="336"/>
      <c r="H453" s="336"/>
    </row>
    <row r="454" spans="7:8">
      <c r="G454" s="336"/>
      <c r="H454" s="336"/>
    </row>
    <row r="455" spans="7:8">
      <c r="G455" s="336"/>
      <c r="H455" s="336"/>
    </row>
    <row r="456" spans="7:8">
      <c r="G456" s="336"/>
      <c r="H456" s="336"/>
    </row>
    <row r="457" spans="7:8">
      <c r="G457" s="336"/>
      <c r="H457" s="336"/>
    </row>
    <row r="458" spans="7:8">
      <c r="G458" s="336"/>
      <c r="H458" s="336"/>
    </row>
    <row r="459" spans="7:8">
      <c r="G459" s="336"/>
      <c r="H459" s="336"/>
    </row>
    <row r="460" spans="7:8">
      <c r="G460" s="336"/>
      <c r="H460" s="336"/>
    </row>
    <row r="461" spans="7:8">
      <c r="G461" s="336"/>
      <c r="H461" s="336"/>
    </row>
    <row r="462" spans="7:8">
      <c r="G462" s="336"/>
      <c r="H462" s="336"/>
    </row>
    <row r="463" spans="7:8">
      <c r="G463" s="336"/>
      <c r="H463" s="336"/>
    </row>
    <row r="464" spans="7:8">
      <c r="G464" s="336"/>
      <c r="H464" s="336"/>
    </row>
    <row r="465" spans="7:8">
      <c r="G465" s="336"/>
      <c r="H465" s="336"/>
    </row>
    <row r="466" spans="7:8">
      <c r="G466" s="336"/>
      <c r="H466" s="336"/>
    </row>
    <row r="467" spans="7:8">
      <c r="G467" s="336"/>
      <c r="H467" s="336"/>
    </row>
    <row r="468" spans="7:8">
      <c r="G468" s="336"/>
      <c r="H468" s="336"/>
    </row>
    <row r="469" spans="7:8">
      <c r="G469" s="336"/>
      <c r="H469" s="336"/>
    </row>
    <row r="470" spans="7:8">
      <c r="G470" s="336"/>
      <c r="H470" s="336"/>
    </row>
    <row r="471" spans="7:8">
      <c r="G471" s="336"/>
      <c r="H471" s="336"/>
    </row>
    <row r="472" spans="7:8">
      <c r="G472" s="336"/>
      <c r="H472" s="336"/>
    </row>
    <row r="473" spans="7:8">
      <c r="G473" s="336"/>
      <c r="H473" s="336"/>
    </row>
    <row r="474" spans="7:8">
      <c r="G474" s="336"/>
      <c r="H474" s="336"/>
    </row>
    <row r="475" spans="7:8">
      <c r="G475" s="336"/>
      <c r="H475" s="336"/>
    </row>
    <row r="476" spans="7:8">
      <c r="G476" s="336"/>
      <c r="H476" s="336"/>
    </row>
    <row r="477" spans="7:8">
      <c r="G477" s="336"/>
      <c r="H477" s="336"/>
    </row>
    <row r="478" spans="7:8">
      <c r="G478" s="336"/>
      <c r="H478" s="336"/>
    </row>
    <row r="479" spans="7:8">
      <c r="G479" s="336"/>
      <c r="H479" s="336"/>
    </row>
    <row r="480" spans="7:8">
      <c r="G480" s="336"/>
      <c r="H480" s="336"/>
    </row>
    <row r="481" spans="7:8">
      <c r="G481" s="336"/>
      <c r="H481" s="336"/>
    </row>
    <row r="482" spans="7:8">
      <c r="G482" s="336"/>
      <c r="H482" s="336"/>
    </row>
    <row r="483" spans="7:8">
      <c r="G483" s="336"/>
      <c r="H483" s="336"/>
    </row>
    <row r="484" spans="7:8">
      <c r="G484" s="336"/>
      <c r="H484" s="336"/>
    </row>
    <row r="485" spans="7:8">
      <c r="G485" s="336"/>
      <c r="H485" s="336"/>
    </row>
    <row r="486" spans="7:8">
      <c r="G486" s="336"/>
      <c r="H486" s="336"/>
    </row>
    <row r="487" spans="7:8">
      <c r="G487" s="336"/>
      <c r="H487" s="336"/>
    </row>
    <row r="488" spans="7:8">
      <c r="G488" s="336"/>
      <c r="H488" s="336"/>
    </row>
    <row r="489" spans="7:8">
      <c r="G489" s="336"/>
      <c r="H489" s="336"/>
    </row>
    <row r="490" spans="7:8">
      <c r="G490" s="336"/>
      <c r="H490" s="336"/>
    </row>
    <row r="491" spans="7:8">
      <c r="G491" s="336"/>
      <c r="H491" s="336"/>
    </row>
    <row r="492" spans="7:8">
      <c r="G492" s="336"/>
      <c r="H492" s="336"/>
    </row>
    <row r="493" spans="7:8">
      <c r="G493" s="336"/>
      <c r="H493" s="336"/>
    </row>
    <row r="494" spans="7:8">
      <c r="G494" s="336"/>
      <c r="H494" s="336"/>
    </row>
    <row r="495" spans="7:8">
      <c r="G495" s="336"/>
      <c r="H495" s="336"/>
    </row>
    <row r="496" spans="7:8">
      <c r="G496" s="336"/>
      <c r="H496" s="336"/>
    </row>
    <row r="497" spans="7:8">
      <c r="G497" s="336"/>
      <c r="H497" s="336"/>
    </row>
    <row r="498" spans="7:8">
      <c r="G498" s="336"/>
      <c r="H498" s="336"/>
    </row>
    <row r="499" spans="7:8">
      <c r="G499" s="336"/>
      <c r="H499" s="336"/>
    </row>
    <row r="500" spans="7:8">
      <c r="G500" s="336"/>
      <c r="H500" s="336"/>
    </row>
    <row r="501" spans="7:8">
      <c r="G501" s="336"/>
      <c r="H501" s="336"/>
    </row>
    <row r="502" spans="7:8">
      <c r="G502" s="336"/>
      <c r="H502" s="336"/>
    </row>
    <row r="503" spans="7:8">
      <c r="G503" s="336"/>
      <c r="H503" s="336"/>
    </row>
    <row r="504" spans="7:8">
      <c r="G504" s="336"/>
      <c r="H504" s="336"/>
    </row>
    <row r="505" spans="7:8">
      <c r="G505" s="336"/>
      <c r="H505" s="336"/>
    </row>
    <row r="506" spans="7:8">
      <c r="G506" s="336"/>
      <c r="H506" s="336"/>
    </row>
    <row r="507" spans="7:8">
      <c r="G507" s="336"/>
      <c r="H507" s="336"/>
    </row>
    <row r="508" spans="7:8">
      <c r="G508" s="336"/>
      <c r="H508" s="336"/>
    </row>
    <row r="509" spans="7:8">
      <c r="G509" s="336"/>
      <c r="H509" s="336"/>
    </row>
    <row r="510" spans="7:8">
      <c r="G510" s="336"/>
      <c r="H510" s="336"/>
    </row>
    <row r="511" spans="7:8">
      <c r="G511" s="336"/>
      <c r="H511" s="336"/>
    </row>
    <row r="512" spans="7:8">
      <c r="G512" s="336"/>
      <c r="H512" s="336"/>
    </row>
    <row r="513" spans="7:8">
      <c r="G513" s="336"/>
      <c r="H513" s="336"/>
    </row>
    <row r="514" spans="7:8">
      <c r="G514" s="336"/>
      <c r="H514" s="336"/>
    </row>
    <row r="515" spans="7:8">
      <c r="G515" s="336"/>
      <c r="H515" s="336"/>
    </row>
    <row r="516" spans="7:8">
      <c r="G516" s="336"/>
      <c r="H516" s="336"/>
    </row>
    <row r="517" spans="7:8">
      <c r="G517" s="336"/>
      <c r="H517" s="336"/>
    </row>
    <row r="518" spans="7:8">
      <c r="G518" s="336"/>
      <c r="H518" s="336"/>
    </row>
    <row r="519" spans="7:8">
      <c r="G519" s="336"/>
      <c r="H519" s="336"/>
    </row>
    <row r="520" spans="7:8">
      <c r="G520" s="336"/>
      <c r="H520" s="336"/>
    </row>
    <row r="521" spans="7:8">
      <c r="G521" s="336"/>
      <c r="H521" s="336"/>
    </row>
    <row r="522" spans="7:8">
      <c r="G522" s="336"/>
      <c r="H522" s="336"/>
    </row>
    <row r="523" spans="7:8">
      <c r="G523" s="336"/>
      <c r="H523" s="336"/>
    </row>
    <row r="524" spans="7:8">
      <c r="G524" s="336"/>
      <c r="H524" s="336"/>
    </row>
    <row r="525" spans="7:8">
      <c r="G525" s="336"/>
      <c r="H525" s="336"/>
    </row>
    <row r="526" spans="7:8">
      <c r="G526" s="336"/>
      <c r="H526" s="336"/>
    </row>
    <row r="527" spans="7:8">
      <c r="G527" s="336"/>
      <c r="H527" s="336"/>
    </row>
    <row r="528" spans="7:8">
      <c r="G528" s="336"/>
      <c r="H528" s="336"/>
    </row>
    <row r="529" spans="7:8">
      <c r="G529" s="336"/>
      <c r="H529" s="336"/>
    </row>
    <row r="530" spans="7:8">
      <c r="G530" s="336"/>
      <c r="H530" s="336"/>
    </row>
    <row r="531" spans="7:8">
      <c r="G531" s="336"/>
      <c r="H531" s="336"/>
    </row>
    <row r="532" spans="7:8">
      <c r="G532" s="336"/>
      <c r="H532" s="336"/>
    </row>
    <row r="533" spans="7:8">
      <c r="G533" s="336"/>
      <c r="H533" s="336"/>
    </row>
    <row r="534" spans="7:8">
      <c r="G534" s="336"/>
      <c r="H534" s="336"/>
    </row>
    <row r="535" spans="7:8">
      <c r="G535" s="336"/>
      <c r="H535" s="336"/>
    </row>
    <row r="536" spans="7:8">
      <c r="G536" s="336"/>
      <c r="H536" s="336"/>
    </row>
    <row r="537" spans="7:8">
      <c r="G537" s="336"/>
      <c r="H537" s="336"/>
    </row>
    <row r="538" spans="7:8">
      <c r="G538" s="336"/>
      <c r="H538" s="336"/>
    </row>
    <row r="539" spans="7:8">
      <c r="G539" s="336"/>
      <c r="H539" s="336"/>
    </row>
    <row r="540" spans="7:8">
      <c r="G540" s="336"/>
      <c r="H540" s="336"/>
    </row>
    <row r="541" spans="7:8">
      <c r="G541" s="336"/>
      <c r="H541" s="336"/>
    </row>
    <row r="542" spans="7:8">
      <c r="G542" s="336"/>
      <c r="H542" s="336"/>
    </row>
    <row r="543" spans="7:8">
      <c r="G543" s="336"/>
      <c r="H543" s="336"/>
    </row>
    <row r="544" spans="7:8">
      <c r="G544" s="336"/>
      <c r="H544" s="336"/>
    </row>
    <row r="545" spans="7:8">
      <c r="G545" s="336"/>
      <c r="H545" s="336"/>
    </row>
    <row r="546" spans="7:8">
      <c r="G546" s="336"/>
      <c r="H546" s="336"/>
    </row>
    <row r="547" spans="7:8">
      <c r="G547" s="336"/>
      <c r="H547" s="336"/>
    </row>
    <row r="548" spans="7:8">
      <c r="G548" s="336"/>
      <c r="H548" s="336"/>
    </row>
    <row r="549" spans="7:8">
      <c r="G549" s="336"/>
      <c r="H549" s="336"/>
    </row>
    <row r="550" spans="7:8">
      <c r="G550" s="336"/>
      <c r="H550" s="336"/>
    </row>
    <row r="551" spans="7:8">
      <c r="G551" s="336"/>
      <c r="H551" s="336"/>
    </row>
    <row r="552" spans="7:8">
      <c r="G552" s="336"/>
      <c r="H552" s="336"/>
    </row>
    <row r="553" spans="7:8">
      <c r="G553" s="336"/>
      <c r="H553" s="336"/>
    </row>
    <row r="554" spans="7:8">
      <c r="G554" s="336"/>
      <c r="H554" s="336"/>
    </row>
    <row r="555" spans="7:8">
      <c r="G555" s="336"/>
      <c r="H555" s="336"/>
    </row>
    <row r="556" spans="7:8">
      <c r="G556" s="336"/>
      <c r="H556" s="336"/>
    </row>
    <row r="557" spans="7:8">
      <c r="G557" s="336"/>
      <c r="H557" s="336"/>
    </row>
    <row r="558" spans="7:8">
      <c r="G558" s="336"/>
      <c r="H558" s="336"/>
    </row>
    <row r="559" spans="7:8">
      <c r="G559" s="336"/>
      <c r="H559" s="336"/>
    </row>
    <row r="560" spans="7:8">
      <c r="G560" s="336"/>
      <c r="H560" s="336"/>
    </row>
    <row r="561" spans="7:8">
      <c r="G561" s="336"/>
      <c r="H561" s="336"/>
    </row>
    <row r="562" spans="7:8">
      <c r="G562" s="336"/>
      <c r="H562" s="336"/>
    </row>
    <row r="563" spans="7:8">
      <c r="G563" s="336"/>
      <c r="H563" s="336"/>
    </row>
    <row r="564" spans="7:8">
      <c r="G564" s="336"/>
      <c r="H564" s="336"/>
    </row>
    <row r="565" spans="7:8">
      <c r="G565" s="336"/>
      <c r="H565" s="336"/>
    </row>
    <row r="566" spans="7:8">
      <c r="G566" s="336"/>
      <c r="H566" s="336"/>
    </row>
    <row r="567" spans="7:8">
      <c r="G567" s="336"/>
      <c r="H567" s="336"/>
    </row>
    <row r="568" spans="7:8">
      <c r="G568" s="336"/>
      <c r="H568" s="336"/>
    </row>
    <row r="569" spans="7:8">
      <c r="G569" s="336"/>
      <c r="H569" s="336"/>
    </row>
    <row r="570" spans="7:8">
      <c r="G570" s="336"/>
      <c r="H570" s="336"/>
    </row>
    <row r="571" spans="7:8">
      <c r="G571" s="336"/>
      <c r="H571" s="336"/>
    </row>
    <row r="572" spans="7:8">
      <c r="G572" s="336"/>
      <c r="H572" s="336"/>
    </row>
    <row r="573" spans="7:8">
      <c r="G573" s="336"/>
      <c r="H573" s="336"/>
    </row>
    <row r="574" spans="7:8">
      <c r="G574" s="336"/>
      <c r="H574" s="336"/>
    </row>
    <row r="575" spans="7:8">
      <c r="G575" s="336"/>
      <c r="H575" s="336"/>
    </row>
    <row r="576" spans="7:8">
      <c r="G576" s="336"/>
      <c r="H576" s="336"/>
    </row>
    <row r="577" spans="7:8">
      <c r="G577" s="336"/>
      <c r="H577" s="336"/>
    </row>
    <row r="578" spans="7:8">
      <c r="G578" s="336"/>
      <c r="H578" s="336"/>
    </row>
    <row r="579" spans="7:8">
      <c r="G579" s="336"/>
      <c r="H579" s="336"/>
    </row>
    <row r="580" spans="7:8">
      <c r="G580" s="336"/>
      <c r="H580" s="336"/>
    </row>
    <row r="581" spans="7:8">
      <c r="G581" s="336"/>
      <c r="H581" s="336"/>
    </row>
    <row r="582" spans="7:8">
      <c r="G582" s="336"/>
      <c r="H582" s="336"/>
    </row>
    <row r="583" spans="7:8">
      <c r="G583" s="336"/>
      <c r="H583" s="336"/>
    </row>
    <row r="584" spans="7:8">
      <c r="G584" s="336"/>
      <c r="H584" s="336"/>
    </row>
    <row r="585" spans="7:8">
      <c r="G585" s="336"/>
      <c r="H585" s="336"/>
    </row>
    <row r="586" spans="7:8">
      <c r="G586" s="336"/>
      <c r="H586" s="336"/>
    </row>
    <row r="587" spans="7:8">
      <c r="G587" s="336"/>
      <c r="H587" s="336"/>
    </row>
    <row r="588" spans="7:8">
      <c r="G588" s="336"/>
      <c r="H588" s="336"/>
    </row>
    <row r="589" spans="7:8">
      <c r="G589" s="336"/>
      <c r="H589" s="336"/>
    </row>
    <row r="590" spans="7:8">
      <c r="G590" s="336"/>
      <c r="H590" s="336"/>
    </row>
    <row r="591" spans="7:8">
      <c r="G591" s="336"/>
      <c r="H591" s="336"/>
    </row>
    <row r="592" spans="7:8">
      <c r="G592" s="336"/>
      <c r="H592" s="336"/>
    </row>
    <row r="593" spans="7:8">
      <c r="G593" s="336"/>
      <c r="H593" s="336"/>
    </row>
    <row r="594" spans="7:8">
      <c r="G594" s="336"/>
      <c r="H594" s="336"/>
    </row>
    <row r="595" spans="7:8">
      <c r="G595" s="336"/>
      <c r="H595" s="336"/>
    </row>
    <row r="596" spans="7:8">
      <c r="G596" s="336"/>
      <c r="H596" s="336"/>
    </row>
    <row r="597" spans="7:8">
      <c r="G597" s="336"/>
      <c r="H597" s="336"/>
    </row>
    <row r="598" spans="7:8">
      <c r="G598" s="336"/>
      <c r="H598" s="336"/>
    </row>
    <row r="599" spans="7:8">
      <c r="G599" s="336"/>
      <c r="H599" s="336"/>
    </row>
    <row r="600" spans="7:8">
      <c r="G600" s="336"/>
      <c r="H600" s="336"/>
    </row>
    <row r="601" spans="7:8">
      <c r="G601" s="336"/>
      <c r="H601" s="336"/>
    </row>
    <row r="602" spans="7:8">
      <c r="G602" s="336"/>
      <c r="H602" s="336"/>
    </row>
    <row r="603" spans="7:8">
      <c r="G603" s="336"/>
      <c r="H603" s="336"/>
    </row>
    <row r="604" spans="7:8">
      <c r="G604" s="336"/>
      <c r="H604" s="336"/>
    </row>
    <row r="605" spans="7:8">
      <c r="G605" s="336"/>
      <c r="H605" s="336"/>
    </row>
    <row r="606" spans="7:8">
      <c r="G606" s="336"/>
      <c r="H606" s="336"/>
    </row>
    <row r="607" spans="7:8">
      <c r="G607" s="336"/>
      <c r="H607" s="336"/>
    </row>
    <row r="608" spans="7:8">
      <c r="G608" s="336"/>
      <c r="H608" s="336"/>
    </row>
    <row r="609" spans="7:8">
      <c r="G609" s="336"/>
      <c r="H609" s="336"/>
    </row>
    <row r="610" spans="7:8">
      <c r="G610" s="336"/>
      <c r="H610" s="336"/>
    </row>
    <row r="611" spans="7:8">
      <c r="G611" s="336"/>
      <c r="H611" s="336"/>
    </row>
    <row r="612" spans="7:8">
      <c r="G612" s="336"/>
      <c r="H612" s="336"/>
    </row>
    <row r="613" spans="7:8">
      <c r="G613" s="336"/>
      <c r="H613" s="336"/>
    </row>
    <row r="614" spans="7:8">
      <c r="G614" s="336"/>
      <c r="H614" s="336"/>
    </row>
    <row r="615" spans="7:8">
      <c r="G615" s="336"/>
      <c r="H615" s="336"/>
    </row>
    <row r="616" spans="7:8">
      <c r="G616" s="336"/>
      <c r="H616" s="336"/>
    </row>
    <row r="617" spans="7:8">
      <c r="G617" s="336"/>
      <c r="H617" s="336"/>
    </row>
    <row r="618" spans="7:8">
      <c r="G618" s="336"/>
      <c r="H618" s="336"/>
    </row>
    <row r="619" spans="7:8">
      <c r="G619" s="336"/>
      <c r="H619" s="336"/>
    </row>
    <row r="620" spans="7:8">
      <c r="G620" s="336"/>
      <c r="H620" s="336"/>
    </row>
    <row r="621" spans="7:8">
      <c r="G621" s="336"/>
      <c r="H621" s="336"/>
    </row>
    <row r="622" spans="7:8">
      <c r="G622" s="336"/>
      <c r="H622" s="336"/>
    </row>
    <row r="623" spans="7:8">
      <c r="G623" s="336"/>
      <c r="H623" s="336"/>
    </row>
    <row r="624" spans="7:8">
      <c r="G624" s="336"/>
      <c r="H624" s="336"/>
    </row>
    <row r="625" spans="7:8">
      <c r="G625" s="336"/>
      <c r="H625" s="336"/>
    </row>
    <row r="626" spans="7:8">
      <c r="G626" s="336"/>
      <c r="H626" s="336"/>
    </row>
    <row r="627" spans="7:8">
      <c r="G627" s="336"/>
      <c r="H627" s="336"/>
    </row>
    <row r="628" spans="7:8">
      <c r="G628" s="336"/>
      <c r="H628" s="336"/>
    </row>
    <row r="629" spans="7:8">
      <c r="G629" s="336"/>
      <c r="H629" s="336"/>
    </row>
    <row r="630" spans="7:8">
      <c r="G630" s="336"/>
      <c r="H630" s="336"/>
    </row>
    <row r="631" spans="7:8">
      <c r="G631" s="336"/>
      <c r="H631" s="336"/>
    </row>
    <row r="632" spans="7:8">
      <c r="G632" s="336"/>
      <c r="H632" s="336"/>
    </row>
    <row r="633" spans="7:8">
      <c r="G633" s="336"/>
      <c r="H633" s="336"/>
    </row>
    <row r="634" spans="7:8">
      <c r="G634" s="336"/>
      <c r="H634" s="336"/>
    </row>
    <row r="635" spans="7:8">
      <c r="G635" s="336"/>
      <c r="H635" s="336"/>
    </row>
    <row r="636" spans="7:8">
      <c r="G636" s="336"/>
      <c r="H636" s="336"/>
    </row>
    <row r="637" spans="7:8">
      <c r="G637" s="336"/>
      <c r="H637" s="336"/>
    </row>
    <row r="638" spans="7:8">
      <c r="G638" s="336"/>
      <c r="H638" s="336"/>
    </row>
    <row r="639" spans="7:8">
      <c r="G639" s="336"/>
      <c r="H639" s="336"/>
    </row>
    <row r="640" spans="7:8">
      <c r="G640" s="336"/>
      <c r="H640" s="336"/>
    </row>
    <row r="641" spans="7:8">
      <c r="G641" s="336"/>
      <c r="H641" s="336"/>
    </row>
    <row r="642" spans="7:8">
      <c r="G642" s="336"/>
      <c r="H642" s="336"/>
    </row>
    <row r="643" spans="7:8">
      <c r="G643" s="336"/>
      <c r="H643" s="336"/>
    </row>
    <row r="644" spans="7:8">
      <c r="G644" s="336"/>
      <c r="H644" s="336"/>
    </row>
    <row r="645" spans="7:8">
      <c r="G645" s="336"/>
      <c r="H645" s="336"/>
    </row>
    <row r="646" spans="7:8">
      <c r="G646" s="336"/>
      <c r="H646" s="336"/>
    </row>
    <row r="647" spans="7:8">
      <c r="G647" s="336"/>
      <c r="H647" s="336"/>
    </row>
    <row r="648" spans="7:8">
      <c r="G648" s="336"/>
      <c r="H648" s="336"/>
    </row>
    <row r="649" spans="7:8">
      <c r="G649" s="336"/>
      <c r="H649" s="336"/>
    </row>
    <row r="650" spans="7:8">
      <c r="G650" s="336"/>
      <c r="H650" s="336"/>
    </row>
    <row r="651" spans="7:8">
      <c r="G651" s="336"/>
      <c r="H651" s="336"/>
    </row>
    <row r="652" spans="7:8">
      <c r="G652" s="336"/>
      <c r="H652" s="336"/>
    </row>
    <row r="653" spans="7:8">
      <c r="G653" s="336"/>
      <c r="H653" s="336"/>
    </row>
    <row r="654" spans="7:8">
      <c r="G654" s="336"/>
      <c r="H654" s="336"/>
    </row>
    <row r="655" spans="7:8">
      <c r="G655" s="336"/>
      <c r="H655" s="336"/>
    </row>
    <row r="656" spans="7:8">
      <c r="G656" s="336"/>
      <c r="H656" s="336"/>
    </row>
    <row r="657" spans="7:8">
      <c r="G657" s="336"/>
      <c r="H657" s="336"/>
    </row>
    <row r="658" spans="7:8">
      <c r="G658" s="336"/>
      <c r="H658" s="336"/>
    </row>
    <row r="659" spans="7:8">
      <c r="G659" s="336"/>
      <c r="H659" s="336"/>
    </row>
    <row r="660" spans="7:8">
      <c r="G660" s="336"/>
      <c r="H660" s="336"/>
    </row>
    <row r="661" spans="7:8">
      <c r="G661" s="336"/>
      <c r="H661" s="336"/>
    </row>
    <row r="662" spans="7:8">
      <c r="G662" s="336"/>
      <c r="H662" s="336"/>
    </row>
    <row r="663" spans="7:8">
      <c r="G663" s="336"/>
      <c r="H663" s="336"/>
    </row>
    <row r="664" spans="7:8">
      <c r="G664" s="336"/>
      <c r="H664" s="336"/>
    </row>
    <row r="665" spans="7:8">
      <c r="G665" s="336"/>
      <c r="H665" s="336"/>
    </row>
    <row r="666" spans="7:8">
      <c r="G666" s="336"/>
      <c r="H666" s="336"/>
    </row>
    <row r="667" spans="7:8">
      <c r="G667" s="336"/>
      <c r="H667" s="336"/>
    </row>
    <row r="668" spans="7:8">
      <c r="G668" s="336"/>
      <c r="H668" s="336"/>
    </row>
    <row r="669" spans="7:8">
      <c r="G669" s="336"/>
      <c r="H669" s="336"/>
    </row>
    <row r="670" spans="7:8">
      <c r="G670" s="336"/>
      <c r="H670" s="336"/>
    </row>
    <row r="671" spans="7:8">
      <c r="G671" s="336"/>
      <c r="H671" s="336"/>
    </row>
    <row r="672" spans="7:8">
      <c r="G672" s="336"/>
      <c r="H672" s="336"/>
    </row>
    <row r="673" spans="7:8">
      <c r="G673" s="336"/>
      <c r="H673" s="336"/>
    </row>
    <row r="674" spans="7:8">
      <c r="G674" s="336"/>
      <c r="H674" s="336"/>
    </row>
    <row r="675" spans="7:8">
      <c r="G675" s="336"/>
      <c r="H675" s="336"/>
    </row>
    <row r="676" spans="7:8">
      <c r="G676" s="336"/>
      <c r="H676" s="336"/>
    </row>
    <row r="677" spans="7:8">
      <c r="G677" s="336"/>
      <c r="H677" s="336"/>
    </row>
    <row r="678" spans="7:8">
      <c r="G678" s="336"/>
      <c r="H678" s="336"/>
    </row>
    <row r="679" spans="7:8">
      <c r="G679" s="336"/>
      <c r="H679" s="336"/>
    </row>
    <row r="680" spans="7:8">
      <c r="G680" s="336"/>
      <c r="H680" s="336"/>
    </row>
    <row r="681" spans="7:8">
      <c r="G681" s="336"/>
      <c r="H681" s="336"/>
    </row>
    <row r="682" spans="7:8">
      <c r="G682" s="336"/>
      <c r="H682" s="336"/>
    </row>
    <row r="683" spans="7:8">
      <c r="G683" s="336"/>
      <c r="H683" s="336"/>
    </row>
    <row r="684" spans="7:8">
      <c r="G684" s="336"/>
      <c r="H684" s="336"/>
    </row>
    <row r="685" spans="7:8">
      <c r="G685" s="336"/>
      <c r="H685" s="336"/>
    </row>
    <row r="686" spans="7:8">
      <c r="G686" s="336"/>
      <c r="H686" s="336"/>
    </row>
    <row r="687" spans="7:8">
      <c r="G687" s="336"/>
      <c r="H687" s="336"/>
    </row>
    <row r="688" spans="7:8">
      <c r="G688" s="336"/>
      <c r="H688" s="336"/>
    </row>
    <row r="689" spans="7:8">
      <c r="G689" s="336"/>
      <c r="H689" s="336"/>
    </row>
    <row r="690" spans="7:8">
      <c r="G690" s="336"/>
      <c r="H690" s="336"/>
    </row>
    <row r="691" spans="7:8">
      <c r="G691" s="336"/>
      <c r="H691" s="336"/>
    </row>
    <row r="692" spans="7:8">
      <c r="G692" s="336"/>
      <c r="H692" s="336"/>
    </row>
    <row r="693" spans="7:8">
      <c r="G693" s="336"/>
      <c r="H693" s="336"/>
    </row>
    <row r="694" spans="7:8">
      <c r="G694" s="336"/>
      <c r="H694" s="336"/>
    </row>
    <row r="695" spans="7:8">
      <c r="G695" s="336"/>
      <c r="H695" s="336"/>
    </row>
    <row r="696" spans="7:8">
      <c r="G696" s="336"/>
      <c r="H696" s="336"/>
    </row>
    <row r="697" spans="7:8">
      <c r="G697" s="336"/>
      <c r="H697" s="336"/>
    </row>
    <row r="698" spans="7:8">
      <c r="G698" s="336"/>
      <c r="H698" s="336"/>
    </row>
    <row r="699" spans="7:8">
      <c r="G699" s="336"/>
      <c r="H699" s="336"/>
    </row>
    <row r="700" spans="7:8">
      <c r="G700" s="336"/>
      <c r="H700" s="336"/>
    </row>
    <row r="701" spans="7:8">
      <c r="G701" s="336"/>
      <c r="H701" s="336"/>
    </row>
    <row r="702" spans="7:8">
      <c r="G702" s="336"/>
      <c r="H702" s="336"/>
    </row>
    <row r="703" spans="7:8">
      <c r="G703" s="336"/>
      <c r="H703" s="336"/>
    </row>
    <row r="704" spans="7:8">
      <c r="G704" s="336"/>
      <c r="H704" s="336"/>
    </row>
    <row r="705" spans="7:8">
      <c r="G705" s="336"/>
      <c r="H705" s="336"/>
    </row>
    <row r="706" spans="7:8">
      <c r="G706" s="336"/>
      <c r="H706" s="336"/>
    </row>
    <row r="707" spans="7:8">
      <c r="G707" s="336"/>
      <c r="H707" s="336"/>
    </row>
    <row r="708" spans="7:8">
      <c r="G708" s="336"/>
      <c r="H708" s="336"/>
    </row>
    <row r="709" spans="7:8">
      <c r="G709" s="336"/>
      <c r="H709" s="336"/>
    </row>
    <row r="710" spans="7:8">
      <c r="G710" s="336"/>
      <c r="H710" s="336"/>
    </row>
    <row r="711" spans="7:8">
      <c r="G711" s="336"/>
      <c r="H711" s="336"/>
    </row>
    <row r="712" spans="7:8">
      <c r="G712" s="336"/>
      <c r="H712" s="336"/>
    </row>
    <row r="713" spans="7:8">
      <c r="G713" s="336"/>
      <c r="H713" s="336"/>
    </row>
    <row r="714" spans="7:8">
      <c r="G714" s="336"/>
      <c r="H714" s="336"/>
    </row>
    <row r="715" spans="7:8">
      <c r="G715" s="336"/>
      <c r="H715" s="336"/>
    </row>
    <row r="716" spans="7:8">
      <c r="G716" s="336"/>
      <c r="H716" s="336"/>
    </row>
    <row r="717" spans="7:8">
      <c r="G717" s="336"/>
      <c r="H717" s="336"/>
    </row>
    <row r="718" spans="7:8">
      <c r="G718" s="336"/>
      <c r="H718" s="336"/>
    </row>
    <row r="719" spans="7:8">
      <c r="G719" s="336"/>
      <c r="H719" s="336"/>
    </row>
    <row r="720" spans="7:8">
      <c r="G720" s="336"/>
      <c r="H720" s="336"/>
    </row>
    <row r="721" spans="7:8">
      <c r="G721" s="336"/>
      <c r="H721" s="336"/>
    </row>
    <row r="722" spans="7:8">
      <c r="G722" s="336"/>
      <c r="H722" s="336"/>
    </row>
    <row r="723" spans="7:8">
      <c r="G723" s="336"/>
      <c r="H723" s="336"/>
    </row>
    <row r="724" spans="7:8">
      <c r="G724" s="336"/>
      <c r="H724" s="336"/>
    </row>
    <row r="725" spans="7:8">
      <c r="G725" s="336"/>
      <c r="H725" s="336"/>
    </row>
    <row r="726" spans="7:8">
      <c r="G726" s="336"/>
      <c r="H726" s="336"/>
    </row>
    <row r="727" spans="7:8">
      <c r="G727" s="336"/>
      <c r="H727" s="336"/>
    </row>
    <row r="728" spans="7:8">
      <c r="G728" s="336"/>
      <c r="H728" s="336"/>
    </row>
    <row r="729" spans="7:8">
      <c r="G729" s="336"/>
      <c r="H729" s="336"/>
    </row>
    <row r="730" spans="7:8">
      <c r="G730" s="336"/>
      <c r="H730" s="336"/>
    </row>
    <row r="731" spans="7:8">
      <c r="G731" s="336"/>
      <c r="H731" s="336"/>
    </row>
    <row r="732" spans="7:8">
      <c r="G732" s="336"/>
      <c r="H732" s="336"/>
    </row>
    <row r="733" spans="7:8">
      <c r="G733" s="336"/>
      <c r="H733" s="336"/>
    </row>
    <row r="734" spans="7:8">
      <c r="G734" s="336"/>
      <c r="H734" s="336"/>
    </row>
    <row r="735" spans="7:8">
      <c r="G735" s="336"/>
      <c r="H735" s="336"/>
    </row>
    <row r="736" spans="7:8">
      <c r="G736" s="336"/>
      <c r="H736" s="336"/>
    </row>
    <row r="737" spans="7:8">
      <c r="G737" s="336"/>
      <c r="H737" s="336"/>
    </row>
    <row r="738" spans="7:8">
      <c r="G738" s="336"/>
      <c r="H738" s="336"/>
    </row>
    <row r="739" spans="7:8">
      <c r="G739" s="336"/>
      <c r="H739" s="336"/>
    </row>
    <row r="740" spans="7:8">
      <c r="G740" s="336"/>
      <c r="H740" s="336"/>
    </row>
    <row r="741" spans="7:8">
      <c r="G741" s="336"/>
      <c r="H741" s="336"/>
    </row>
    <row r="742" spans="7:8">
      <c r="G742" s="336"/>
      <c r="H742" s="336"/>
    </row>
    <row r="743" spans="7:8">
      <c r="G743" s="336"/>
      <c r="H743" s="336"/>
    </row>
    <row r="744" spans="7:8">
      <c r="G744" s="336"/>
      <c r="H744" s="336"/>
    </row>
    <row r="745" spans="7:8">
      <c r="G745" s="336"/>
      <c r="H745" s="336"/>
    </row>
    <row r="746" spans="7:8">
      <c r="G746" s="336"/>
      <c r="H746" s="336"/>
    </row>
    <row r="747" spans="7:8">
      <c r="G747" s="336"/>
      <c r="H747" s="336"/>
    </row>
    <row r="748" spans="7:8">
      <c r="G748" s="336"/>
      <c r="H748" s="336"/>
    </row>
    <row r="749" spans="7:8">
      <c r="G749" s="336"/>
      <c r="H749" s="336"/>
    </row>
    <row r="750" spans="7:8">
      <c r="G750" s="336"/>
      <c r="H750" s="336"/>
    </row>
    <row r="751" spans="7:8">
      <c r="G751" s="336"/>
      <c r="H751" s="336"/>
    </row>
    <row r="752" spans="7:8">
      <c r="G752" s="336"/>
      <c r="H752" s="336"/>
    </row>
    <row r="753" spans="7:8">
      <c r="G753" s="336"/>
      <c r="H753" s="336"/>
    </row>
    <row r="754" spans="7:8">
      <c r="G754" s="336"/>
      <c r="H754" s="336"/>
    </row>
    <row r="755" spans="7:8">
      <c r="G755" s="336"/>
      <c r="H755" s="336"/>
    </row>
    <row r="756" spans="7:8">
      <c r="G756" s="336"/>
      <c r="H756" s="336"/>
    </row>
    <row r="757" spans="7:8">
      <c r="G757" s="336"/>
      <c r="H757" s="336"/>
    </row>
    <row r="758" spans="7:8">
      <c r="G758" s="336"/>
      <c r="H758" s="336"/>
    </row>
    <row r="759" spans="7:8">
      <c r="G759" s="336"/>
      <c r="H759" s="336"/>
    </row>
    <row r="760" spans="7:8">
      <c r="G760" s="336"/>
      <c r="H760" s="336"/>
    </row>
    <row r="761" spans="7:8">
      <c r="G761" s="336"/>
      <c r="H761" s="336"/>
    </row>
    <row r="762" spans="7:8">
      <c r="G762" s="336"/>
      <c r="H762" s="336"/>
    </row>
    <row r="763" spans="7:8">
      <c r="G763" s="336"/>
      <c r="H763" s="336"/>
    </row>
    <row r="764" spans="7:8">
      <c r="G764" s="336"/>
      <c r="H764" s="336"/>
    </row>
    <row r="765" spans="7:8">
      <c r="G765" s="336"/>
      <c r="H765" s="336"/>
    </row>
    <row r="766" spans="7:8">
      <c r="G766" s="336"/>
      <c r="H766" s="336"/>
    </row>
    <row r="767" spans="7:8">
      <c r="G767" s="336"/>
      <c r="H767" s="336"/>
    </row>
    <row r="768" spans="7:8">
      <c r="G768" s="336"/>
      <c r="H768" s="336"/>
    </row>
    <row r="769" spans="7:8">
      <c r="G769" s="336"/>
      <c r="H769" s="336"/>
    </row>
    <row r="770" spans="7:8">
      <c r="G770" s="336"/>
      <c r="H770" s="336"/>
    </row>
    <row r="771" spans="7:8">
      <c r="G771" s="336"/>
      <c r="H771" s="336"/>
    </row>
    <row r="772" spans="7:8">
      <c r="G772" s="336"/>
      <c r="H772" s="336"/>
    </row>
    <row r="773" spans="7:8">
      <c r="G773" s="336"/>
      <c r="H773" s="336"/>
    </row>
    <row r="774" spans="7:8">
      <c r="G774" s="336"/>
      <c r="H774" s="336"/>
    </row>
    <row r="775" spans="7:8">
      <c r="G775" s="336"/>
      <c r="H775" s="336"/>
    </row>
    <row r="776" spans="7:8">
      <c r="G776" s="336"/>
      <c r="H776" s="336"/>
    </row>
    <row r="777" spans="7:8">
      <c r="G777" s="336"/>
      <c r="H777" s="336"/>
    </row>
    <row r="778" spans="7:8">
      <c r="G778" s="336"/>
      <c r="H778" s="336"/>
    </row>
    <row r="779" spans="7:8">
      <c r="G779" s="336"/>
      <c r="H779" s="336"/>
    </row>
    <row r="780" spans="7:8">
      <c r="G780" s="336"/>
      <c r="H780" s="336"/>
    </row>
    <row r="781" spans="7:8">
      <c r="G781" s="336"/>
      <c r="H781" s="336"/>
    </row>
    <row r="782" spans="7:8">
      <c r="G782" s="336"/>
      <c r="H782" s="336"/>
    </row>
    <row r="783" spans="7:8">
      <c r="G783" s="336"/>
      <c r="H783" s="336"/>
    </row>
    <row r="784" spans="7:8">
      <c r="G784" s="336"/>
      <c r="H784" s="336"/>
    </row>
    <row r="785" spans="7:8">
      <c r="G785" s="336"/>
      <c r="H785" s="336"/>
    </row>
    <row r="786" spans="7:8">
      <c r="G786" s="336"/>
      <c r="H786" s="336"/>
    </row>
    <row r="787" spans="7:8">
      <c r="G787" s="336"/>
      <c r="H787" s="336"/>
    </row>
    <row r="788" spans="7:8">
      <c r="G788" s="336"/>
      <c r="H788" s="336"/>
    </row>
    <row r="789" spans="7:8">
      <c r="G789" s="336"/>
      <c r="H789" s="336"/>
    </row>
    <row r="790" spans="7:8">
      <c r="G790" s="336"/>
      <c r="H790" s="336"/>
    </row>
    <row r="791" spans="7:8">
      <c r="G791" s="336"/>
      <c r="H791" s="336"/>
    </row>
    <row r="792" spans="7:8">
      <c r="G792" s="336"/>
      <c r="H792" s="336"/>
    </row>
    <row r="793" spans="7:8">
      <c r="G793" s="336"/>
      <c r="H793" s="336"/>
    </row>
    <row r="794" spans="7:8">
      <c r="G794" s="336"/>
      <c r="H794" s="336"/>
    </row>
    <row r="795" spans="7:8">
      <c r="G795" s="336"/>
      <c r="H795" s="336"/>
    </row>
    <row r="796" spans="7:8">
      <c r="G796" s="336"/>
      <c r="H796" s="336"/>
    </row>
    <row r="797" spans="7:8">
      <c r="G797" s="336"/>
      <c r="H797" s="336"/>
    </row>
    <row r="798" spans="7:8">
      <c r="G798" s="336"/>
      <c r="H798" s="336"/>
    </row>
    <row r="799" spans="7:8">
      <c r="G799" s="336"/>
      <c r="H799" s="336"/>
    </row>
    <row r="800" spans="7:8">
      <c r="G800" s="336"/>
      <c r="H800" s="336"/>
    </row>
    <row r="801" spans="7:8">
      <c r="G801" s="336"/>
      <c r="H801" s="336"/>
    </row>
    <row r="802" spans="7:8">
      <c r="G802" s="336"/>
      <c r="H802" s="336"/>
    </row>
    <row r="803" spans="7:8">
      <c r="G803" s="336"/>
      <c r="H803" s="336"/>
    </row>
    <row r="804" spans="7:8">
      <c r="G804" s="336"/>
      <c r="H804" s="336"/>
    </row>
    <row r="805" spans="7:8">
      <c r="G805" s="336"/>
      <c r="H805" s="336"/>
    </row>
    <row r="806" spans="7:8">
      <c r="G806" s="336"/>
      <c r="H806" s="336"/>
    </row>
    <row r="807" spans="7:8">
      <c r="G807" s="336"/>
      <c r="H807" s="336"/>
    </row>
    <row r="808" spans="7:8">
      <c r="G808" s="336"/>
      <c r="H808" s="336"/>
    </row>
    <row r="809" spans="7:8">
      <c r="G809" s="336"/>
      <c r="H809" s="336"/>
    </row>
    <row r="810" spans="7:8">
      <c r="G810" s="336"/>
      <c r="H810" s="336"/>
    </row>
    <row r="811" spans="7:8">
      <c r="G811" s="336"/>
      <c r="H811" s="336"/>
    </row>
    <row r="812" spans="7:8">
      <c r="G812" s="336"/>
      <c r="H812" s="336"/>
    </row>
    <row r="813" spans="7:8">
      <c r="G813" s="336"/>
      <c r="H813" s="336"/>
    </row>
    <row r="814" spans="7:8">
      <c r="G814" s="336"/>
      <c r="H814" s="336"/>
    </row>
    <row r="815" spans="7:8">
      <c r="G815" s="336"/>
      <c r="H815" s="336"/>
    </row>
    <row r="816" spans="7:8">
      <c r="G816" s="336"/>
      <c r="H816" s="336"/>
    </row>
    <row r="817" spans="7:8">
      <c r="G817" s="336"/>
      <c r="H817" s="336"/>
    </row>
    <row r="818" spans="7:8">
      <c r="G818" s="336"/>
      <c r="H818" s="336"/>
    </row>
    <row r="819" spans="7:8">
      <c r="G819" s="336"/>
      <c r="H819" s="336"/>
    </row>
    <row r="820" spans="7:8">
      <c r="G820" s="336"/>
      <c r="H820" s="336"/>
    </row>
    <row r="821" spans="7:8">
      <c r="G821" s="336"/>
      <c r="H821" s="336"/>
    </row>
    <row r="822" spans="7:8">
      <c r="G822" s="336"/>
      <c r="H822" s="336"/>
    </row>
    <row r="823" spans="7:8">
      <c r="G823" s="336"/>
      <c r="H823" s="336"/>
    </row>
    <row r="824" spans="7:8">
      <c r="G824" s="336"/>
      <c r="H824" s="336"/>
    </row>
    <row r="825" spans="7:8">
      <c r="G825" s="336"/>
      <c r="H825" s="336"/>
    </row>
    <row r="826" spans="7:8">
      <c r="G826" s="336"/>
      <c r="H826" s="336"/>
    </row>
    <row r="827" spans="7:8">
      <c r="G827" s="336"/>
      <c r="H827" s="336"/>
    </row>
    <row r="828" spans="7:8">
      <c r="G828" s="336"/>
      <c r="H828" s="336"/>
    </row>
    <row r="829" spans="7:8">
      <c r="G829" s="336"/>
      <c r="H829" s="336"/>
    </row>
    <row r="830" spans="7:8">
      <c r="G830" s="336"/>
      <c r="H830" s="336"/>
    </row>
    <row r="831" spans="7:8">
      <c r="G831" s="336"/>
      <c r="H831" s="336"/>
    </row>
    <row r="832" spans="7:8">
      <c r="G832" s="336"/>
      <c r="H832" s="336"/>
    </row>
    <row r="833" spans="7:8">
      <c r="G833" s="336"/>
      <c r="H833" s="336"/>
    </row>
    <row r="834" spans="7:8">
      <c r="G834" s="336"/>
      <c r="H834" s="336"/>
    </row>
    <row r="835" spans="7:8">
      <c r="G835" s="336"/>
      <c r="H835" s="336"/>
    </row>
    <row r="836" spans="7:8">
      <c r="G836" s="336"/>
      <c r="H836" s="336"/>
    </row>
    <row r="837" spans="7:8">
      <c r="G837" s="336"/>
      <c r="H837" s="336"/>
    </row>
    <row r="838" spans="7:8">
      <c r="G838" s="336"/>
      <c r="H838" s="336"/>
    </row>
    <row r="839" spans="7:8">
      <c r="G839" s="336"/>
      <c r="H839" s="336"/>
    </row>
    <row r="840" spans="7:8">
      <c r="G840" s="336"/>
      <c r="H840" s="336"/>
    </row>
    <row r="841" spans="7:8">
      <c r="G841" s="336"/>
      <c r="H841" s="336"/>
    </row>
    <row r="842" spans="7:8">
      <c r="G842" s="336"/>
      <c r="H842" s="336"/>
    </row>
    <row r="843" spans="7:8">
      <c r="G843" s="336"/>
      <c r="H843" s="336"/>
    </row>
    <row r="844" spans="7:8">
      <c r="G844" s="336"/>
      <c r="H844" s="336"/>
    </row>
    <row r="845" spans="7:8">
      <c r="G845" s="336"/>
      <c r="H845" s="336"/>
    </row>
    <row r="846" spans="7:8">
      <c r="G846" s="336"/>
      <c r="H846" s="336"/>
    </row>
    <row r="847" spans="7:8">
      <c r="G847" s="336"/>
      <c r="H847" s="336"/>
    </row>
    <row r="848" spans="7:8">
      <c r="G848" s="336"/>
      <c r="H848" s="336"/>
    </row>
    <row r="849" spans="7:8">
      <c r="G849" s="336"/>
      <c r="H849" s="336"/>
    </row>
    <row r="850" spans="7:8">
      <c r="G850" s="336"/>
      <c r="H850" s="336"/>
    </row>
    <row r="851" spans="7:8">
      <c r="G851" s="336"/>
      <c r="H851" s="336"/>
    </row>
    <row r="852" spans="7:8">
      <c r="G852" s="336"/>
      <c r="H852" s="336"/>
    </row>
    <row r="853" spans="7:8">
      <c r="G853" s="336"/>
      <c r="H853" s="336"/>
    </row>
    <row r="854" spans="7:8">
      <c r="G854" s="336"/>
      <c r="H854" s="336"/>
    </row>
    <row r="855" spans="7:8">
      <c r="G855" s="336"/>
      <c r="H855" s="336"/>
    </row>
    <row r="856" spans="7:8">
      <c r="G856" s="336"/>
      <c r="H856" s="336"/>
    </row>
    <row r="857" spans="7:8">
      <c r="G857" s="336"/>
      <c r="H857" s="336"/>
    </row>
    <row r="858" spans="7:8">
      <c r="G858" s="336"/>
      <c r="H858" s="336"/>
    </row>
    <row r="859" spans="7:8">
      <c r="G859" s="336"/>
      <c r="H859" s="336"/>
    </row>
    <row r="860" spans="7:8">
      <c r="G860" s="336"/>
      <c r="H860" s="336"/>
    </row>
    <row r="861" spans="7:8">
      <c r="G861" s="336"/>
      <c r="H861" s="336"/>
    </row>
    <row r="862" spans="7:8">
      <c r="G862" s="336"/>
      <c r="H862" s="336"/>
    </row>
    <row r="863" spans="7:8">
      <c r="G863" s="336"/>
      <c r="H863" s="336"/>
    </row>
    <row r="864" spans="7:8">
      <c r="G864" s="336"/>
      <c r="H864" s="336"/>
    </row>
    <row r="865" spans="7:8">
      <c r="G865" s="336"/>
      <c r="H865" s="336"/>
    </row>
    <row r="866" spans="7:8">
      <c r="G866" s="336"/>
      <c r="H866" s="336"/>
    </row>
    <row r="867" spans="7:8">
      <c r="G867" s="336"/>
      <c r="H867" s="336"/>
    </row>
    <row r="868" spans="7:8">
      <c r="G868" s="336"/>
      <c r="H868" s="336"/>
    </row>
    <row r="869" spans="7:8">
      <c r="G869" s="336"/>
      <c r="H869" s="336"/>
    </row>
    <row r="870" spans="7:8">
      <c r="G870" s="336"/>
      <c r="H870" s="336"/>
    </row>
    <row r="871" spans="7:8">
      <c r="G871" s="336"/>
      <c r="H871" s="336"/>
    </row>
    <row r="872" spans="7:8">
      <c r="G872" s="336"/>
      <c r="H872" s="336"/>
    </row>
    <row r="873" spans="7:8">
      <c r="G873" s="336"/>
      <c r="H873" s="336"/>
    </row>
    <row r="874" spans="7:8">
      <c r="G874" s="336"/>
      <c r="H874" s="336"/>
    </row>
    <row r="875" spans="7:8">
      <c r="G875" s="336"/>
      <c r="H875" s="336"/>
    </row>
    <row r="876" spans="7:8">
      <c r="G876" s="336"/>
      <c r="H876" s="336"/>
    </row>
    <row r="877" spans="7:8">
      <c r="G877" s="336"/>
      <c r="H877" s="336"/>
    </row>
    <row r="878" spans="7:8">
      <c r="G878" s="336"/>
      <c r="H878" s="336"/>
    </row>
    <row r="879" spans="7:8">
      <c r="G879" s="336"/>
      <c r="H879" s="336"/>
    </row>
    <row r="880" spans="7:8">
      <c r="G880" s="336"/>
      <c r="H880" s="336"/>
    </row>
    <row r="881" spans="7:8">
      <c r="G881" s="336"/>
      <c r="H881" s="336"/>
    </row>
    <row r="882" spans="7:8">
      <c r="G882" s="336"/>
      <c r="H882" s="336"/>
    </row>
    <row r="883" spans="7:8">
      <c r="G883" s="336"/>
      <c r="H883" s="336"/>
    </row>
    <row r="884" spans="7:8">
      <c r="G884" s="336"/>
      <c r="H884" s="336"/>
    </row>
    <row r="885" spans="7:8">
      <c r="G885" s="336"/>
      <c r="H885" s="336"/>
    </row>
    <row r="886" spans="7:8">
      <c r="G886" s="336"/>
      <c r="H886" s="336"/>
    </row>
    <row r="887" spans="7:8">
      <c r="G887" s="336"/>
      <c r="H887" s="336"/>
    </row>
    <row r="888" spans="7:8">
      <c r="G888" s="336"/>
      <c r="H888" s="336"/>
    </row>
    <row r="889" spans="7:8">
      <c r="G889" s="336"/>
      <c r="H889" s="336"/>
    </row>
    <row r="890" spans="7:8">
      <c r="G890" s="336"/>
      <c r="H890" s="336"/>
    </row>
    <row r="891" spans="7:8">
      <c r="G891" s="336"/>
      <c r="H891" s="336"/>
    </row>
    <row r="892" spans="7:8">
      <c r="G892" s="336"/>
      <c r="H892" s="336"/>
    </row>
    <row r="893" spans="7:8">
      <c r="G893" s="336"/>
      <c r="H893" s="336"/>
    </row>
    <row r="894" spans="7:8">
      <c r="G894" s="336"/>
      <c r="H894" s="336"/>
    </row>
    <row r="895" spans="7:8">
      <c r="G895" s="336"/>
      <c r="H895" s="336"/>
    </row>
    <row r="896" spans="7:8">
      <c r="G896" s="336"/>
      <c r="H896" s="336"/>
    </row>
    <row r="897" spans="7:8">
      <c r="G897" s="336"/>
      <c r="H897" s="336"/>
    </row>
    <row r="898" spans="7:8">
      <c r="G898" s="336"/>
      <c r="H898" s="336"/>
    </row>
    <row r="899" spans="7:8">
      <c r="G899" s="336"/>
      <c r="H899" s="336"/>
    </row>
    <row r="900" spans="7:8">
      <c r="G900" s="336"/>
      <c r="H900" s="336"/>
    </row>
    <row r="901" spans="7:8">
      <c r="G901" s="336"/>
      <c r="H901" s="336"/>
    </row>
    <row r="902" spans="7:8">
      <c r="G902" s="336"/>
      <c r="H902" s="336"/>
    </row>
    <row r="903" spans="7:8">
      <c r="G903" s="336"/>
      <c r="H903" s="336"/>
    </row>
    <row r="904" spans="7:8">
      <c r="G904" s="336"/>
      <c r="H904" s="336"/>
    </row>
    <row r="905" spans="7:8">
      <c r="G905" s="336"/>
      <c r="H905" s="336"/>
    </row>
    <row r="906" spans="7:8">
      <c r="G906" s="336"/>
      <c r="H906" s="336"/>
    </row>
    <row r="907" spans="7:8">
      <c r="G907" s="336"/>
      <c r="H907" s="336"/>
    </row>
    <row r="908" spans="7:8">
      <c r="G908" s="336"/>
      <c r="H908" s="336"/>
    </row>
    <row r="909" spans="7:8">
      <c r="G909" s="336"/>
      <c r="H909" s="336"/>
    </row>
    <row r="910" spans="7:8">
      <c r="G910" s="336"/>
      <c r="H910" s="336"/>
    </row>
    <row r="911" spans="7:8">
      <c r="G911" s="336"/>
      <c r="H911" s="336"/>
    </row>
    <row r="912" spans="7:8">
      <c r="G912" s="336"/>
      <c r="H912" s="336"/>
    </row>
    <row r="913" spans="7:8">
      <c r="G913" s="336"/>
      <c r="H913" s="336"/>
    </row>
    <row r="914" spans="7:8">
      <c r="G914" s="336"/>
      <c r="H914" s="336"/>
    </row>
    <row r="915" spans="7:8">
      <c r="G915" s="336"/>
      <c r="H915" s="336"/>
    </row>
    <row r="916" spans="7:8">
      <c r="G916" s="336"/>
      <c r="H916" s="336"/>
    </row>
    <row r="917" spans="7:8">
      <c r="G917" s="336"/>
      <c r="H917" s="336"/>
    </row>
    <row r="918" spans="7:8">
      <c r="G918" s="336"/>
      <c r="H918" s="336"/>
    </row>
    <row r="919" spans="7:8">
      <c r="G919" s="336"/>
      <c r="H919" s="336"/>
    </row>
    <row r="920" spans="7:8">
      <c r="G920" s="336"/>
      <c r="H920" s="336"/>
    </row>
    <row r="921" spans="7:8">
      <c r="G921" s="336"/>
      <c r="H921" s="336"/>
    </row>
    <row r="922" spans="7:8">
      <c r="G922" s="336"/>
      <c r="H922" s="336"/>
    </row>
    <row r="923" spans="7:8">
      <c r="G923" s="336"/>
      <c r="H923" s="336"/>
    </row>
    <row r="924" spans="7:8">
      <c r="G924" s="336"/>
      <c r="H924" s="336"/>
    </row>
    <row r="925" spans="7:8">
      <c r="G925" s="336"/>
      <c r="H925" s="336"/>
    </row>
    <row r="926" spans="7:8">
      <c r="G926" s="336"/>
      <c r="H926" s="336"/>
    </row>
    <row r="927" spans="7:8">
      <c r="G927" s="336"/>
      <c r="H927" s="336"/>
    </row>
    <row r="928" spans="7:8">
      <c r="G928" s="336"/>
      <c r="H928" s="336"/>
    </row>
    <row r="929" spans="7:8">
      <c r="G929" s="336"/>
      <c r="H929" s="336"/>
    </row>
    <row r="930" spans="7:8">
      <c r="G930" s="336"/>
      <c r="H930" s="336"/>
    </row>
    <row r="931" spans="7:8">
      <c r="G931" s="336"/>
      <c r="H931" s="336"/>
    </row>
    <row r="932" spans="7:8">
      <c r="G932" s="336"/>
      <c r="H932" s="336"/>
    </row>
    <row r="933" spans="7:8">
      <c r="G933" s="336"/>
      <c r="H933" s="336"/>
    </row>
    <row r="934" spans="7:8">
      <c r="G934" s="336"/>
      <c r="H934" s="336"/>
    </row>
    <row r="935" spans="7:8">
      <c r="G935" s="336"/>
      <c r="H935" s="336"/>
    </row>
    <row r="936" spans="7:8">
      <c r="G936" s="336"/>
      <c r="H936" s="336"/>
    </row>
    <row r="937" spans="7:8">
      <c r="G937" s="336"/>
      <c r="H937" s="336"/>
    </row>
    <row r="938" spans="7:8">
      <c r="G938" s="336"/>
      <c r="H938" s="336"/>
    </row>
    <row r="939" spans="7:8">
      <c r="G939" s="336"/>
      <c r="H939" s="336"/>
    </row>
    <row r="940" spans="7:8">
      <c r="G940" s="336"/>
      <c r="H940" s="336"/>
    </row>
    <row r="941" spans="7:8">
      <c r="G941" s="336"/>
      <c r="H941" s="336"/>
    </row>
    <row r="942" spans="7:8">
      <c r="G942" s="336"/>
      <c r="H942" s="336"/>
    </row>
    <row r="943" spans="7:8">
      <c r="G943" s="336"/>
      <c r="H943" s="336"/>
    </row>
    <row r="944" spans="7:8">
      <c r="G944" s="336"/>
      <c r="H944" s="336"/>
    </row>
    <row r="945" spans="7:8">
      <c r="G945" s="336"/>
      <c r="H945" s="336"/>
    </row>
    <row r="946" spans="7:8">
      <c r="G946" s="336"/>
      <c r="H946" s="336"/>
    </row>
    <row r="947" spans="7:8">
      <c r="G947" s="336"/>
      <c r="H947" s="336"/>
    </row>
    <row r="948" spans="7:8">
      <c r="G948" s="336"/>
      <c r="H948" s="336"/>
    </row>
    <row r="949" spans="7:8">
      <c r="G949" s="336"/>
      <c r="H949" s="336"/>
    </row>
    <row r="950" spans="7:8">
      <c r="G950" s="336"/>
      <c r="H950" s="336"/>
    </row>
    <row r="951" spans="7:8">
      <c r="G951" s="336"/>
      <c r="H951" s="336"/>
    </row>
    <row r="952" spans="7:8">
      <c r="G952" s="336"/>
      <c r="H952" s="336"/>
    </row>
    <row r="953" spans="7:8">
      <c r="G953" s="336"/>
      <c r="H953" s="336"/>
    </row>
    <row r="954" spans="7:8">
      <c r="G954" s="336"/>
      <c r="H954" s="336"/>
    </row>
    <row r="955" spans="7:8">
      <c r="G955" s="336"/>
      <c r="H955" s="336"/>
    </row>
    <row r="956" spans="7:8">
      <c r="G956" s="336"/>
      <c r="H956" s="336"/>
    </row>
    <row r="957" spans="7:8">
      <c r="G957" s="336"/>
      <c r="H957" s="336"/>
    </row>
    <row r="958" spans="7:8">
      <c r="G958" s="336"/>
      <c r="H958" s="336"/>
    </row>
    <row r="959" spans="7:8">
      <c r="G959" s="336"/>
      <c r="H959" s="336"/>
    </row>
    <row r="960" spans="7:8">
      <c r="G960" s="336"/>
      <c r="H960" s="336"/>
    </row>
    <row r="961" spans="7:8">
      <c r="G961" s="336"/>
      <c r="H961" s="336"/>
    </row>
    <row r="962" spans="7:8">
      <c r="G962" s="336"/>
      <c r="H962" s="336"/>
    </row>
    <row r="963" spans="7:8">
      <c r="G963" s="336"/>
      <c r="H963" s="336"/>
    </row>
    <row r="964" spans="7:8">
      <c r="G964" s="336"/>
      <c r="H964" s="336"/>
    </row>
    <row r="965" spans="7:8">
      <c r="G965" s="336"/>
      <c r="H965" s="336"/>
    </row>
    <row r="966" spans="7:8">
      <c r="G966" s="336"/>
      <c r="H966" s="336"/>
    </row>
    <row r="967" spans="7:8">
      <c r="G967" s="336"/>
      <c r="H967" s="336"/>
    </row>
    <row r="968" spans="7:8">
      <c r="G968" s="336"/>
      <c r="H968" s="336"/>
    </row>
    <row r="969" spans="7:8">
      <c r="G969" s="336"/>
      <c r="H969" s="336"/>
    </row>
    <row r="970" spans="7:8">
      <c r="G970" s="336"/>
      <c r="H970" s="336"/>
    </row>
    <row r="971" spans="7:8">
      <c r="G971" s="336"/>
      <c r="H971" s="336"/>
    </row>
    <row r="972" spans="7:8">
      <c r="G972" s="336"/>
      <c r="H972" s="336"/>
    </row>
    <row r="973" spans="7:8">
      <c r="G973" s="336"/>
      <c r="H973" s="336"/>
    </row>
    <row r="974" spans="7:8">
      <c r="G974" s="336"/>
      <c r="H974" s="336"/>
    </row>
    <row r="975" spans="7:8">
      <c r="G975" s="336"/>
      <c r="H975" s="336"/>
    </row>
    <row r="976" spans="7:8">
      <c r="G976" s="336"/>
      <c r="H976" s="336"/>
    </row>
    <row r="977" spans="7:8">
      <c r="G977" s="336"/>
      <c r="H977" s="336"/>
    </row>
    <row r="978" spans="7:8">
      <c r="G978" s="336"/>
      <c r="H978" s="336"/>
    </row>
    <row r="979" spans="7:8">
      <c r="G979" s="336"/>
      <c r="H979" s="336"/>
    </row>
    <row r="980" spans="7:8">
      <c r="G980" s="336"/>
      <c r="H980" s="336"/>
    </row>
    <row r="981" spans="7:8">
      <c r="G981" s="336"/>
      <c r="H981" s="336"/>
    </row>
    <row r="982" spans="7:8">
      <c r="G982" s="336"/>
      <c r="H982" s="336"/>
    </row>
    <row r="983" spans="7:8">
      <c r="G983" s="336"/>
      <c r="H983" s="336"/>
    </row>
    <row r="984" spans="7:8">
      <c r="G984" s="336"/>
      <c r="H984" s="336"/>
    </row>
    <row r="985" spans="7:8">
      <c r="G985" s="336"/>
      <c r="H985" s="336"/>
    </row>
    <row r="986" spans="7:8">
      <c r="G986" s="336"/>
      <c r="H986" s="336"/>
    </row>
    <row r="987" spans="7:8">
      <c r="G987" s="336"/>
      <c r="H987" s="336"/>
    </row>
    <row r="988" spans="7:8">
      <c r="G988" s="336"/>
      <c r="H988" s="336"/>
    </row>
    <row r="989" spans="7:8">
      <c r="G989" s="336"/>
      <c r="H989" s="336"/>
    </row>
    <row r="990" spans="7:8">
      <c r="G990" s="336"/>
      <c r="H990" s="336"/>
    </row>
    <row r="991" spans="7:8">
      <c r="G991" s="336"/>
      <c r="H991" s="336"/>
    </row>
    <row r="992" spans="7:8">
      <c r="G992" s="336"/>
      <c r="H992" s="336"/>
    </row>
    <row r="993" spans="7:8">
      <c r="G993" s="336"/>
      <c r="H993" s="336"/>
    </row>
    <row r="994" spans="7:8">
      <c r="G994" s="336"/>
      <c r="H994" s="336"/>
    </row>
    <row r="995" spans="7:8">
      <c r="G995" s="336"/>
      <c r="H995" s="336"/>
    </row>
    <row r="996" spans="7:8">
      <c r="G996" s="336"/>
      <c r="H996" s="336"/>
    </row>
    <row r="997" spans="7:8">
      <c r="G997" s="336"/>
      <c r="H997" s="336"/>
    </row>
    <row r="998" spans="7:8">
      <c r="G998" s="336"/>
      <c r="H998" s="336"/>
    </row>
    <row r="999" spans="7:8">
      <c r="G999" s="336"/>
      <c r="H999" s="336"/>
    </row>
    <row r="1000" spans="7:8">
      <c r="G1000" s="336"/>
      <c r="H1000" s="336"/>
    </row>
    <row r="1001" spans="7:8">
      <c r="G1001" s="336"/>
      <c r="H1001" s="336"/>
    </row>
    <row r="1002" spans="7:8">
      <c r="G1002" s="336"/>
      <c r="H1002" s="336"/>
    </row>
    <row r="1003" spans="7:8">
      <c r="G1003" s="336"/>
      <c r="H1003" s="336"/>
    </row>
    <row r="1004" spans="7:8">
      <c r="G1004" s="336"/>
      <c r="H1004" s="336"/>
    </row>
    <row r="1005" spans="7:8">
      <c r="G1005" s="336"/>
      <c r="H1005" s="336"/>
    </row>
    <row r="1006" spans="7:8">
      <c r="G1006" s="336"/>
      <c r="H1006" s="336"/>
    </row>
    <row r="1007" spans="7:8">
      <c r="G1007" s="336"/>
      <c r="H1007" s="336"/>
    </row>
    <row r="1008" spans="7:8">
      <c r="G1008" s="336"/>
      <c r="H1008" s="336"/>
    </row>
    <row r="1009" spans="7:8">
      <c r="G1009" s="336"/>
      <c r="H1009" s="336"/>
    </row>
    <row r="1010" spans="7:8">
      <c r="G1010" s="336"/>
      <c r="H1010" s="336"/>
    </row>
    <row r="1011" spans="7:8">
      <c r="G1011" s="336"/>
      <c r="H1011" s="336"/>
    </row>
    <row r="1012" spans="7:8">
      <c r="G1012" s="336"/>
      <c r="H1012" s="336"/>
    </row>
    <row r="1013" spans="7:8">
      <c r="G1013" s="336"/>
      <c r="H1013" s="336"/>
    </row>
    <row r="1014" spans="7:8">
      <c r="G1014" s="336"/>
      <c r="H1014" s="336"/>
    </row>
    <row r="1015" spans="7:8">
      <c r="G1015" s="336"/>
      <c r="H1015" s="336"/>
    </row>
    <row r="1016" spans="7:8">
      <c r="G1016" s="336"/>
      <c r="H1016" s="336"/>
    </row>
    <row r="1017" spans="7:8">
      <c r="G1017" s="336"/>
      <c r="H1017" s="336"/>
    </row>
    <row r="1018" spans="7:8">
      <c r="G1018" s="336"/>
      <c r="H1018" s="336"/>
    </row>
    <row r="1019" spans="7:8">
      <c r="G1019" s="336"/>
      <c r="H1019" s="336"/>
    </row>
    <row r="1020" spans="7:8">
      <c r="G1020" s="336"/>
      <c r="H1020" s="336"/>
    </row>
    <row r="1021" spans="7:8">
      <c r="G1021" s="336"/>
      <c r="H1021" s="336"/>
    </row>
    <row r="1022" spans="7:8">
      <c r="G1022" s="336"/>
      <c r="H1022" s="336"/>
    </row>
    <row r="1023" spans="7:8">
      <c r="G1023" s="336"/>
      <c r="H1023" s="336"/>
    </row>
    <row r="1024" spans="7:8">
      <c r="G1024" s="336"/>
      <c r="H1024" s="336"/>
    </row>
    <row r="1025" spans="7:8">
      <c r="G1025" s="336"/>
      <c r="H1025" s="336"/>
    </row>
    <row r="1026" spans="7:8">
      <c r="G1026" s="336"/>
      <c r="H1026" s="336"/>
    </row>
    <row r="1027" spans="7:8">
      <c r="G1027" s="336"/>
      <c r="H1027" s="336"/>
    </row>
    <row r="1028" spans="7:8">
      <c r="G1028" s="336"/>
      <c r="H1028" s="336"/>
    </row>
    <row r="1029" spans="7:8">
      <c r="G1029" s="336"/>
      <c r="H1029" s="336"/>
    </row>
    <row r="1030" spans="7:8">
      <c r="G1030" s="336"/>
      <c r="H1030" s="336"/>
    </row>
    <row r="1031" spans="7:8">
      <c r="G1031" s="336"/>
      <c r="H1031" s="336"/>
    </row>
    <row r="1032" spans="7:8">
      <c r="G1032" s="336"/>
      <c r="H1032" s="336"/>
    </row>
    <row r="1033" spans="7:8">
      <c r="G1033" s="336"/>
      <c r="H1033" s="336"/>
    </row>
    <row r="1034" spans="7:8">
      <c r="G1034" s="336"/>
      <c r="H1034" s="336"/>
    </row>
    <row r="1035" spans="7:8">
      <c r="G1035" s="336"/>
      <c r="H1035" s="336"/>
    </row>
    <row r="1036" spans="7:8">
      <c r="G1036" s="336"/>
      <c r="H1036" s="336"/>
    </row>
    <row r="1037" spans="7:8">
      <c r="G1037" s="336"/>
      <c r="H1037" s="336"/>
    </row>
    <row r="1038" spans="7:8">
      <c r="G1038" s="336"/>
      <c r="H1038" s="336"/>
    </row>
    <row r="1039" spans="7:8">
      <c r="G1039" s="336"/>
      <c r="H1039" s="336"/>
    </row>
    <row r="1040" spans="7:8">
      <c r="G1040" s="336"/>
      <c r="H1040" s="336"/>
    </row>
    <row r="1041" spans="7:8">
      <c r="G1041" s="336"/>
      <c r="H1041" s="336"/>
    </row>
    <row r="1042" spans="7:8">
      <c r="G1042" s="336"/>
      <c r="H1042" s="336"/>
    </row>
    <row r="1043" spans="7:8">
      <c r="G1043" s="336"/>
      <c r="H1043" s="336"/>
    </row>
    <row r="1044" spans="7:8">
      <c r="G1044" s="336"/>
      <c r="H1044" s="336"/>
    </row>
    <row r="1045" spans="7:8">
      <c r="G1045" s="336"/>
      <c r="H1045" s="336"/>
    </row>
    <row r="1046" spans="7:8">
      <c r="G1046" s="336"/>
      <c r="H1046" s="336"/>
    </row>
    <row r="1047" spans="7:8">
      <c r="G1047" s="336"/>
      <c r="H1047" s="336"/>
    </row>
    <row r="1048" spans="7:8">
      <c r="G1048" s="336"/>
      <c r="H1048" s="336"/>
    </row>
    <row r="1049" spans="7:8">
      <c r="G1049" s="336"/>
      <c r="H1049" s="336"/>
    </row>
    <row r="1050" spans="7:8">
      <c r="G1050" s="336"/>
      <c r="H1050" s="336"/>
    </row>
    <row r="1051" spans="7:8">
      <c r="G1051" s="336"/>
      <c r="H1051" s="336"/>
    </row>
    <row r="1052" spans="7:8">
      <c r="G1052" s="336"/>
      <c r="H1052" s="336"/>
    </row>
    <row r="1053" spans="7:8">
      <c r="G1053" s="336"/>
      <c r="H1053" s="336"/>
    </row>
    <row r="1054" spans="7:8">
      <c r="G1054" s="336"/>
      <c r="H1054" s="336"/>
    </row>
    <row r="1055" spans="7:8">
      <c r="G1055" s="336"/>
      <c r="H1055" s="336"/>
    </row>
    <row r="1056" spans="7:8">
      <c r="G1056" s="336"/>
      <c r="H1056" s="336"/>
    </row>
    <row r="1057" spans="7:8">
      <c r="G1057" s="336"/>
      <c r="H1057" s="336"/>
    </row>
    <row r="1058" spans="7:8">
      <c r="G1058" s="336"/>
      <c r="H1058" s="336"/>
    </row>
    <row r="1059" spans="7:8">
      <c r="G1059" s="336"/>
      <c r="H1059" s="336"/>
    </row>
    <row r="1060" spans="7:8">
      <c r="G1060" s="336"/>
      <c r="H1060" s="336"/>
    </row>
    <row r="1061" spans="7:8">
      <c r="G1061" s="336"/>
      <c r="H1061" s="336"/>
    </row>
    <row r="1062" spans="7:8">
      <c r="G1062" s="336"/>
      <c r="H1062" s="336"/>
    </row>
    <row r="1063" spans="7:8">
      <c r="G1063" s="336"/>
      <c r="H1063" s="336"/>
    </row>
    <row r="1064" spans="7:8">
      <c r="G1064" s="336"/>
      <c r="H1064" s="336"/>
    </row>
    <row r="1065" spans="7:8">
      <c r="G1065" s="336"/>
      <c r="H1065" s="336"/>
    </row>
    <row r="1066" spans="7:8">
      <c r="G1066" s="336"/>
      <c r="H1066" s="336"/>
    </row>
    <row r="1067" spans="7:8">
      <c r="G1067" s="336"/>
      <c r="H1067" s="336"/>
    </row>
    <row r="1068" spans="7:8">
      <c r="G1068" s="336"/>
      <c r="H1068" s="336"/>
    </row>
    <row r="1069" spans="7:8">
      <c r="G1069" s="336"/>
      <c r="H1069" s="336"/>
    </row>
    <row r="1070" spans="7:8">
      <c r="G1070" s="336"/>
      <c r="H1070" s="336"/>
    </row>
    <row r="1071" spans="7:8">
      <c r="G1071" s="336"/>
      <c r="H1071" s="336"/>
    </row>
    <row r="1072" spans="7:8">
      <c r="G1072" s="336"/>
      <c r="H1072" s="336"/>
    </row>
    <row r="1073" spans="7:8">
      <c r="G1073" s="336"/>
      <c r="H1073" s="336"/>
    </row>
    <row r="1074" spans="7:8">
      <c r="G1074" s="336"/>
      <c r="H1074" s="336"/>
    </row>
    <row r="1075" spans="7:8">
      <c r="G1075" s="336"/>
      <c r="H1075" s="336"/>
    </row>
    <row r="1076" spans="7:8">
      <c r="G1076" s="336"/>
      <c r="H1076" s="336"/>
    </row>
    <row r="1077" spans="7:8">
      <c r="G1077" s="336"/>
      <c r="H1077" s="336"/>
    </row>
    <row r="1078" spans="7:8">
      <c r="G1078" s="336"/>
      <c r="H1078" s="336"/>
    </row>
    <row r="1079" spans="7:8">
      <c r="G1079" s="336"/>
      <c r="H1079" s="336"/>
    </row>
    <row r="1080" spans="7:8">
      <c r="G1080" s="336"/>
      <c r="H1080" s="336"/>
    </row>
    <row r="1081" spans="7:8">
      <c r="G1081" s="336"/>
      <c r="H1081" s="336"/>
    </row>
    <row r="1082" spans="7:8">
      <c r="G1082" s="336"/>
      <c r="H1082" s="336"/>
    </row>
    <row r="1083" spans="7:8">
      <c r="G1083" s="336"/>
      <c r="H1083" s="336"/>
    </row>
    <row r="1084" spans="7:8">
      <c r="G1084" s="336"/>
      <c r="H1084" s="336"/>
    </row>
    <row r="1085" spans="7:8">
      <c r="G1085" s="336"/>
      <c r="H1085" s="336"/>
    </row>
    <row r="1086" spans="7:8">
      <c r="G1086" s="336"/>
      <c r="H1086" s="336"/>
    </row>
  </sheetData>
  <customSheetViews>
    <customSheetView guid="{3A38DF7A-C35E-4DD3-9893-26310A3EF836}" scale="66" showPageBreaks="1" printArea="1" showRuler="0" topLeftCell="A52">
      <selection activeCell="H74" sqref="H74"/>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1"/>
      <headerFooter alignWithMargins="0">
        <oddHeader>&amp;R&amp;12Page &amp;P of &amp;N</oddHeader>
      </headerFooter>
    </customSheetView>
    <customSheetView guid="{F96D6087-3330-4A81-95EC-26BA83722A49}" scale="75" showPageBreaks="1" printArea="1" view="pageBreakPreview" showRuler="0">
      <pane xSplit="3" topLeftCell="F1"/>
      <selection activeCell="C10" sqref="C10"/>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2"/>
      <headerFooter alignWithMargins="0">
        <oddHeader>&amp;R&amp;12Page &amp;P of &amp;N</oddHeader>
      </headerFooter>
    </customSheetView>
    <customSheetView guid="{DA967730-B71F-4038-B1B7-9D4790729C5D}" scale="75" showPageBreaks="1" printArea="1" view="pageBreakPreview" showRuler="0" topLeftCell="A271">
      <pane xSplit="3" topLeftCell="F1" activePane="topRight"/>
      <selection pane="topRight" activeCell="H279" sqref="H279"/>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3"/>
      <headerFooter alignWithMargins="0">
        <oddHeader>&amp;R&amp;12Page &amp;P of &amp;N</oddHeader>
      </headerFooter>
    </customSheetView>
    <customSheetView guid="{4C7C2344-134C-465A-ADEB-A5E96AAE2308}" scale="75" showPageBreaks="1" printArea="1" view="pageBreakPreview" showRuler="0" topLeftCell="A190">
      <pane xSplit="2.9634146341463414" topLeftCell="F1" activePane="topRight"/>
      <selection pane="topRight" activeCell="H111" sqref="H111"/>
      <rowBreaks count="7" manualBreakCount="7">
        <brk id="36" max="16383" man="1"/>
        <brk id="86" max="16383" man="1"/>
        <brk id="130" max="16383" man="1"/>
        <brk id="169" max="16383" man="1"/>
        <brk id="212" max="16383" man="1"/>
        <brk id="262" max="16383" man="1"/>
        <brk id="289" max="7" man="1"/>
      </rowBreaks>
      <pageMargins left="0" right="0" top="0" bottom="0" header="0" footer="0"/>
      <pageSetup scale="65" fitToHeight="10" orientation="landscape" r:id="rId4"/>
      <headerFooter alignWithMargins="0">
        <oddHeader>&amp;R&amp;12Page &amp;P of &amp;N</oddHeader>
      </headerFooter>
    </customSheetView>
    <customSheetView guid="{FAAD9AAC-1337-43AB-BF1F-CCF9DFCF5B78}" scale="60" showPageBreaks="1" printArea="1" view="pageBreakPreview" showRuler="0" topLeftCell="A276">
      <selection activeCell="H313" sqref="H313"/>
      <rowBreaks count="4" manualBreakCount="4">
        <brk id="70" max="7" man="1"/>
        <brk id="143" max="7" man="1"/>
        <brk id="210" max="7" man="1"/>
        <brk id="287" max="7" man="1"/>
      </rowBreaks>
      <colBreaks count="2" manualBreakCount="2">
        <brk id="7" max="324" man="1"/>
        <brk id="8" max="316" man="1"/>
      </colBreaks>
      <pageMargins left="0" right="0" top="0" bottom="0" header="0" footer="0"/>
      <printOptions horizontalCentered="1"/>
      <pageSetup scale="44" fitToHeight="10" orientation="portrait" r:id="rId5"/>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6"/>
      <headerFooter alignWithMargins="0">
        <oddHeader>&amp;R&amp;16Page &amp;P of &amp;N</oddHeader>
      </headerFooter>
    </customSheetView>
    <customSheetView guid="{28948E05-8F34-4F1E-96FB-A80A6A844600}" scale="66" showPageBreaks="1" printArea="1" hiddenRows="1" showRuler="0" topLeftCell="A252">
      <selection activeCell="B270" sqref="B270"/>
      <rowBreaks count="4" manualBreakCount="4">
        <brk id="70" max="7" man="1"/>
        <brk id="143" max="7" man="1"/>
        <brk id="211" max="7" man="1"/>
        <brk id="288" max="7" man="1"/>
      </rowBreaks>
      <colBreaks count="1" manualBreakCount="1">
        <brk id="8" max="316" man="1"/>
      </colBreaks>
      <pageMargins left="0" right="0" top="0" bottom="0" header="0" footer="0"/>
      <printOptions horizontalCentered="1"/>
      <pageSetup scale="45" fitToHeight="10" orientation="portrait" r:id="rId7"/>
      <headerFooter alignWithMargins="0">
        <oddHeader>&amp;R&amp;12Page &amp;P of &amp;N</oddHeader>
      </headerFooter>
    </customSheetView>
    <customSheetView guid="{DC91DEF3-837B-4BB9-A81E-3B78C5914E6C}" scale="60" showPageBreaks="1" printArea="1" view="pageBreakPreview" showRuler="0" topLeftCell="A286">
      <selection activeCell="F182" sqref="F182"/>
      <rowBreaks count="4" manualBreakCount="4">
        <brk id="70" max="7" man="1"/>
        <brk id="143" max="7" man="1"/>
        <brk id="210" max="7" man="1"/>
        <brk id="287" max="7" man="1"/>
      </rowBreaks>
      <colBreaks count="1" manualBreakCount="1">
        <brk id="8" max="316" man="1"/>
      </colBreaks>
      <pageMargins left="0" right="0" top="0" bottom="0" header="0" footer="0"/>
      <printOptions horizontalCentered="1"/>
      <pageSetup scale="44" fitToHeight="10" orientation="portrait" r:id="rId8"/>
      <headerFooter alignWithMargins="0">
        <oddHeader>&amp;R&amp;12Page &amp;P of &amp;N</oddHeader>
      </headerFooter>
    </customSheetView>
    <customSheetView guid="{416404B7-8533-4A12-ABD0-58CFDEB49D80}" scale="50" showPageBreaks="1" printArea="1">
      <selection activeCell="F23" sqref="F23"/>
      <rowBreaks count="4" manualBreakCount="4">
        <brk id="73" max="7" man="1"/>
        <brk id="140" max="7" man="1"/>
        <brk id="202" max="7" man="1"/>
        <brk id="277" max="7" man="1"/>
      </rowBreaks>
      <pageMargins left="0" right="0" top="0" bottom="0" header="0" footer="0"/>
      <printOptions horizontalCentered="1"/>
      <pageSetup scale="35" fitToHeight="0" orientation="portrait" r:id="rId9"/>
      <headerFooter alignWithMargins="0"/>
    </customSheetView>
  </customSheetViews>
  <mergeCells count="14">
    <mergeCell ref="C309:H309"/>
    <mergeCell ref="C313:H313"/>
    <mergeCell ref="C305:H305"/>
    <mergeCell ref="C318:H318"/>
    <mergeCell ref="C300:H300"/>
    <mergeCell ref="C306:H306"/>
    <mergeCell ref="C311:H311"/>
    <mergeCell ref="C315:H315"/>
    <mergeCell ref="C310:H310"/>
    <mergeCell ref="D2:F2"/>
    <mergeCell ref="D3:F3"/>
    <mergeCell ref="C297:H297"/>
    <mergeCell ref="C302:H302"/>
    <mergeCell ref="C303:H303"/>
  </mergeCells>
  <phoneticPr fontId="0" type="noConversion"/>
  <printOptions horizontalCentered="1"/>
  <pageMargins left="0.17" right="0.17" top="1.56" bottom="1.24" header="0.5" footer="0.17"/>
  <pageSetup scale="40" fitToHeight="0" orientation="portrait" r:id="rId10"/>
  <headerFooter alignWithMargins="0"/>
  <rowBreaks count="5" manualBreakCount="5">
    <brk id="57" max="7" man="1"/>
    <brk id="114" max="7" man="1"/>
    <brk id="164" max="16383" man="1"/>
    <brk id="238" max="7" man="1"/>
    <brk id="294" max="7" man="1"/>
  </rowBreaks>
  <customProperties>
    <customPr name="_pios_id" r:id="rId11"/>
    <customPr name="EpmWorksheetKeyString_GUID" r:id="rId12"/>
  </customProperties>
  <ignoredErrors>
    <ignoredError sqref="H21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39"/>
  <sheetViews>
    <sheetView zoomScale="60" zoomScaleNormal="60" workbookViewId="0">
      <selection activeCell="R17" sqref="R17"/>
    </sheetView>
  </sheetViews>
  <sheetFormatPr defaultColWidth="8.7109375" defaultRowHeight="14.25"/>
  <cols>
    <col min="1" max="1" width="17.7109375" style="6" customWidth="1"/>
    <col min="2" max="2" width="6.42578125" style="6" customWidth="1"/>
    <col min="3" max="3" width="75.140625" style="6" bestFit="1" customWidth="1"/>
    <col min="4" max="4" width="41.42578125" style="6" customWidth="1"/>
    <col min="5" max="5" width="17.7109375" style="6" customWidth="1"/>
    <col min="6" max="6" width="20.28515625" style="6" customWidth="1"/>
    <col min="7" max="7" width="19.7109375" style="6" customWidth="1"/>
    <col min="8" max="8" width="21.28515625" style="6" customWidth="1"/>
    <col min="9" max="9" width="20.7109375" style="6" customWidth="1"/>
    <col min="10" max="10" width="19" style="6" customWidth="1"/>
    <col min="11" max="11" width="20.42578125" style="6" customWidth="1"/>
    <col min="12" max="12" width="18.28515625" style="6" customWidth="1"/>
    <col min="13" max="13" width="21.7109375" style="6" customWidth="1"/>
    <col min="14" max="14" width="21.42578125" style="6" customWidth="1"/>
    <col min="15" max="15" width="22" style="6" customWidth="1"/>
    <col min="16" max="16" width="20.7109375" style="6" customWidth="1"/>
    <col min="17" max="17" width="21.42578125" style="6" customWidth="1"/>
    <col min="18" max="18" width="24.7109375" style="6" bestFit="1" customWidth="1"/>
    <col min="19" max="19" width="20.28515625" style="6" customWidth="1"/>
    <col min="20" max="16384" width="8.7109375" style="6"/>
  </cols>
  <sheetData>
    <row r="1" spans="1:19" ht="15">
      <c r="F1" s="11" t="str">
        <f>+'Appendix A'!A3</f>
        <v>Dayton Power and Light</v>
      </c>
    </row>
    <row r="2" spans="1:19" ht="15">
      <c r="F2" s="11" t="str">
        <f>+'Appendix A'!A4</f>
        <v xml:space="preserve">ATTACHMENT H-15A </v>
      </c>
      <c r="S2" s="24"/>
    </row>
    <row r="3" spans="1:19" ht="15">
      <c r="F3" s="45"/>
    </row>
    <row r="4" spans="1:19" ht="15">
      <c r="F4" s="11" t="s">
        <v>1012</v>
      </c>
    </row>
    <row r="5" spans="1:19">
      <c r="A5" s="6" t="s">
        <v>366</v>
      </c>
    </row>
    <row r="6" spans="1:19" ht="15" thickBot="1"/>
    <row r="7" spans="1:19" ht="15.75" thickBot="1">
      <c r="A7" s="116"/>
      <c r="B7" s="115"/>
      <c r="C7" s="46"/>
      <c r="D7" s="46"/>
      <c r="E7" s="44"/>
      <c r="F7" s="163" t="s">
        <v>443</v>
      </c>
      <c r="G7" s="740" t="s">
        <v>598</v>
      </c>
      <c r="H7" s="740"/>
      <c r="I7" s="740"/>
      <c r="J7" s="740"/>
      <c r="K7" s="740"/>
      <c r="L7" s="740"/>
      <c r="M7" s="740"/>
      <c r="N7" s="740"/>
      <c r="O7" s="740"/>
      <c r="P7" s="740"/>
      <c r="Q7" s="740"/>
      <c r="R7" s="741"/>
      <c r="S7" s="46"/>
    </row>
    <row r="8" spans="1:19" ht="15.75" thickBot="1">
      <c r="A8" s="164" t="s">
        <v>444</v>
      </c>
      <c r="B8" s="165" t="s">
        <v>445</v>
      </c>
      <c r="C8" s="165"/>
      <c r="D8" s="165"/>
      <c r="E8" s="166" t="s">
        <v>3</v>
      </c>
      <c r="F8" s="167" t="s">
        <v>563</v>
      </c>
      <c r="G8" s="51" t="s">
        <v>449</v>
      </c>
      <c r="H8" s="51" t="s">
        <v>450</v>
      </c>
      <c r="I8" s="51" t="s">
        <v>451</v>
      </c>
      <c r="J8" s="51" t="s">
        <v>452</v>
      </c>
      <c r="K8" s="51" t="s">
        <v>335</v>
      </c>
      <c r="L8" s="51" t="s">
        <v>453</v>
      </c>
      <c r="M8" s="51" t="s">
        <v>454</v>
      </c>
      <c r="N8" s="51" t="s">
        <v>455</v>
      </c>
      <c r="O8" s="51" t="s">
        <v>456</v>
      </c>
      <c r="P8" s="51" t="s">
        <v>457</v>
      </c>
      <c r="Q8" s="51" t="s">
        <v>458</v>
      </c>
      <c r="R8" s="51" t="s">
        <v>599</v>
      </c>
      <c r="S8" s="168" t="s">
        <v>460</v>
      </c>
    </row>
    <row r="9" spans="1:19" ht="15">
      <c r="A9" s="169"/>
      <c r="B9" s="170" t="s">
        <v>600</v>
      </c>
      <c r="C9" s="171"/>
      <c r="D9" s="171"/>
      <c r="E9" s="172"/>
      <c r="F9" s="173"/>
      <c r="G9" s="174"/>
      <c r="H9" s="174"/>
      <c r="I9" s="174"/>
      <c r="J9" s="174"/>
      <c r="K9" s="174"/>
      <c r="L9" s="174"/>
      <c r="M9" s="174"/>
      <c r="N9" s="174"/>
      <c r="O9" s="174"/>
      <c r="P9" s="174"/>
      <c r="Q9" s="174"/>
      <c r="R9" s="174"/>
      <c r="S9" s="173"/>
    </row>
    <row r="10" spans="1:19" ht="15">
      <c r="A10" s="175">
        <v>1</v>
      </c>
      <c r="B10" s="132"/>
      <c r="C10" s="176" t="s">
        <v>847</v>
      </c>
      <c r="D10" s="46"/>
      <c r="E10" s="115" t="s">
        <v>848</v>
      </c>
      <c r="F10" s="177">
        <v>7804888.0499999998</v>
      </c>
      <c r="G10" s="177">
        <v>8455532.3100000005</v>
      </c>
      <c r="H10" s="177">
        <v>0</v>
      </c>
      <c r="I10" s="177">
        <v>0</v>
      </c>
      <c r="J10" s="177">
        <v>0</v>
      </c>
      <c r="K10" s="177">
        <v>0</v>
      </c>
      <c r="L10" s="177">
        <v>0</v>
      </c>
      <c r="M10" s="177">
        <v>0</v>
      </c>
      <c r="N10" s="177">
        <v>0</v>
      </c>
      <c r="O10" s="177">
        <v>0</v>
      </c>
      <c r="P10" s="177">
        <v>0</v>
      </c>
      <c r="Q10" s="177">
        <v>0</v>
      </c>
      <c r="R10" s="177">
        <v>0</v>
      </c>
      <c r="S10" s="178">
        <f>AVERAGE(F10:R10)</f>
        <v>1250801.5661538462</v>
      </c>
    </row>
    <row r="11" spans="1:19" ht="15">
      <c r="A11" s="175">
        <f>+A10+1</f>
        <v>2</v>
      </c>
      <c r="B11" s="132"/>
      <c r="C11" s="176" t="s">
        <v>849</v>
      </c>
      <c r="D11" s="46"/>
      <c r="E11" s="115" t="s">
        <v>848</v>
      </c>
      <c r="F11" s="177">
        <v>1760440.92</v>
      </c>
      <c r="G11" s="177">
        <v>1571090.25</v>
      </c>
      <c r="H11" s="177">
        <v>2066914.53</v>
      </c>
      <c r="I11" s="177">
        <v>1728045.15</v>
      </c>
      <c r="J11" s="177">
        <v>1732759.22</v>
      </c>
      <c r="K11" s="177">
        <v>3294426.99</v>
      </c>
      <c r="L11" s="177">
        <v>3771691.13</v>
      </c>
      <c r="M11" s="177">
        <v>4073872.88</v>
      </c>
      <c r="N11" s="177">
        <v>5053251.57</v>
      </c>
      <c r="O11" s="177">
        <v>6285465.25</v>
      </c>
      <c r="P11" s="177">
        <v>7033134.3799999999</v>
      </c>
      <c r="Q11" s="177">
        <v>7638123.2699999996</v>
      </c>
      <c r="R11" s="177">
        <v>8678179.6600000001</v>
      </c>
      <c r="S11" s="178">
        <f t="shared" ref="S11:S17" si="0">AVERAGE(F11:R11)</f>
        <v>4206722.7076923084</v>
      </c>
    </row>
    <row r="12" spans="1:19" ht="15">
      <c r="A12" s="175">
        <f t="shared" ref="A12:A15" si="1">+A11+1</f>
        <v>3</v>
      </c>
      <c r="B12" s="132"/>
      <c r="C12" s="176" t="s">
        <v>850</v>
      </c>
      <c r="D12" s="46"/>
      <c r="E12" s="115" t="s">
        <v>848</v>
      </c>
      <c r="F12" s="177">
        <v>908379.31</v>
      </c>
      <c r="G12" s="177">
        <v>912293.38</v>
      </c>
      <c r="H12" s="177">
        <v>918517.52</v>
      </c>
      <c r="I12" s="177">
        <v>923245</v>
      </c>
      <c r="J12" s="177">
        <v>926901.53</v>
      </c>
      <c r="K12" s="177">
        <v>932060.43</v>
      </c>
      <c r="L12" s="177">
        <v>935793.07</v>
      </c>
      <c r="M12" s="177">
        <v>939940.28</v>
      </c>
      <c r="N12" s="177">
        <v>957960.52</v>
      </c>
      <c r="O12" s="177">
        <v>972969.54</v>
      </c>
      <c r="P12" s="177">
        <v>1004590.6</v>
      </c>
      <c r="Q12" s="177">
        <v>1015366.56</v>
      </c>
      <c r="R12" s="177">
        <v>1623033.74</v>
      </c>
      <c r="S12" s="178">
        <f t="shared" si="0"/>
        <v>997773.19076923095</v>
      </c>
    </row>
    <row r="13" spans="1:19">
      <c r="A13" s="175">
        <f t="shared" si="1"/>
        <v>4</v>
      </c>
      <c r="B13" s="46"/>
      <c r="C13" s="179" t="s">
        <v>851</v>
      </c>
      <c r="D13" s="46"/>
      <c r="E13" s="115" t="s">
        <v>848</v>
      </c>
      <c r="F13" s="177">
        <v>94143.56</v>
      </c>
      <c r="G13" s="177">
        <v>94547.02</v>
      </c>
      <c r="H13" s="177">
        <v>94984.3</v>
      </c>
      <c r="I13" s="177">
        <v>95378.78</v>
      </c>
      <c r="J13" s="177">
        <v>95678.83</v>
      </c>
      <c r="K13" s="177">
        <v>170746.76</v>
      </c>
      <c r="L13" s="177">
        <v>169600.31</v>
      </c>
      <c r="M13" s="177">
        <v>176473.14</v>
      </c>
      <c r="N13" s="177">
        <v>227981.78</v>
      </c>
      <c r="O13" s="177">
        <v>251988.05</v>
      </c>
      <c r="P13" s="177">
        <v>262114.42</v>
      </c>
      <c r="Q13" s="177">
        <v>275655.86</v>
      </c>
      <c r="R13" s="177">
        <v>477168.04</v>
      </c>
      <c r="S13" s="178">
        <f t="shared" si="0"/>
        <v>191266.21923076923</v>
      </c>
    </row>
    <row r="14" spans="1:19">
      <c r="A14" s="175">
        <f t="shared" si="1"/>
        <v>5</v>
      </c>
      <c r="B14" s="46"/>
      <c r="C14" s="179" t="s">
        <v>852</v>
      </c>
      <c r="D14" s="46"/>
      <c r="E14" s="115" t="s">
        <v>848</v>
      </c>
      <c r="F14" s="177">
        <v>937032.02</v>
      </c>
      <c r="G14" s="177">
        <v>941796.21</v>
      </c>
      <c r="H14" s="177">
        <v>946929.5</v>
      </c>
      <c r="I14" s="177">
        <v>950866.62</v>
      </c>
      <c r="J14" s="177">
        <v>999332.37</v>
      </c>
      <c r="K14" s="177">
        <v>1031984.39</v>
      </c>
      <c r="L14" s="177">
        <v>2423868.9</v>
      </c>
      <c r="M14" s="177">
        <v>2472760.9300000002</v>
      </c>
      <c r="N14" s="177">
        <v>2490111.86</v>
      </c>
      <c r="O14" s="177">
        <v>3048669.25</v>
      </c>
      <c r="P14" s="177">
        <v>3433556.86</v>
      </c>
      <c r="Q14" s="177">
        <v>3461422.43</v>
      </c>
      <c r="R14" s="177">
        <v>3950589.65</v>
      </c>
      <c r="S14" s="178">
        <f t="shared" si="0"/>
        <v>2083763.153076923</v>
      </c>
    </row>
    <row r="15" spans="1:19">
      <c r="A15" s="175">
        <f t="shared" si="1"/>
        <v>6</v>
      </c>
      <c r="B15" s="46"/>
      <c r="C15" s="179" t="s">
        <v>853</v>
      </c>
      <c r="D15" s="46"/>
      <c r="E15" s="115" t="s">
        <v>848</v>
      </c>
      <c r="F15" s="177">
        <v>83457.049999999988</v>
      </c>
      <c r="G15" s="177">
        <v>83468.63</v>
      </c>
      <c r="H15" s="177">
        <v>86558.150000000023</v>
      </c>
      <c r="I15" s="177">
        <v>88651.510000000009</v>
      </c>
      <c r="J15" s="177">
        <v>139202.87</v>
      </c>
      <c r="K15" s="177">
        <v>140339.85999999999</v>
      </c>
      <c r="L15" s="177">
        <v>206793.31000000006</v>
      </c>
      <c r="M15" s="177">
        <v>241388.09999999998</v>
      </c>
      <c r="N15" s="177">
        <v>260637.90000000002</v>
      </c>
      <c r="O15" s="177">
        <v>337725.29000000004</v>
      </c>
      <c r="P15" s="177">
        <v>500999.94999999995</v>
      </c>
      <c r="Q15" s="177">
        <v>542699.09000000008</v>
      </c>
      <c r="R15" s="177">
        <v>645450.1100000001</v>
      </c>
      <c r="S15" s="178">
        <f t="shared" si="0"/>
        <v>258259.37076923079</v>
      </c>
    </row>
    <row r="16" spans="1:19" ht="15">
      <c r="A16" s="175">
        <f>+A15+1</f>
        <v>7</v>
      </c>
      <c r="B16" s="132"/>
      <c r="C16" s="176" t="s">
        <v>854</v>
      </c>
      <c r="D16" s="46"/>
      <c r="E16" s="115" t="s">
        <v>848</v>
      </c>
      <c r="F16" s="177">
        <v>1340434.1299999999</v>
      </c>
      <c r="G16" s="177">
        <v>1362590</v>
      </c>
      <c r="H16" s="177">
        <v>1374064.48</v>
      </c>
      <c r="I16" s="177">
        <v>1385269.69</v>
      </c>
      <c r="J16" s="177">
        <v>1394024.47</v>
      </c>
      <c r="K16" s="177">
        <v>1612986.14</v>
      </c>
      <c r="L16" s="177">
        <v>1625889.01</v>
      </c>
      <c r="M16" s="177">
        <v>1630669.18</v>
      </c>
      <c r="N16" s="177">
        <v>2883775.08</v>
      </c>
      <c r="O16" s="177">
        <v>3251160.15</v>
      </c>
      <c r="P16" s="177">
        <v>3712026.72</v>
      </c>
      <c r="Q16" s="177">
        <v>4111989.24</v>
      </c>
      <c r="R16" s="177">
        <v>4836956.47</v>
      </c>
      <c r="S16" s="178">
        <f t="shared" si="0"/>
        <v>2347833.443076923</v>
      </c>
    </row>
    <row r="17" spans="1:19" ht="15">
      <c r="A17" s="175">
        <f>+A16+1</f>
        <v>8</v>
      </c>
      <c r="B17" s="132"/>
      <c r="C17" s="176" t="s">
        <v>855</v>
      </c>
      <c r="D17" s="46"/>
      <c r="E17" s="115" t="s">
        <v>848</v>
      </c>
      <c r="F17" s="177">
        <v>1475540.37</v>
      </c>
      <c r="G17" s="177">
        <v>1467191.37</v>
      </c>
      <c r="H17" s="177">
        <v>2434435.88</v>
      </c>
      <c r="I17" s="177">
        <v>2334469.4900000002</v>
      </c>
      <c r="J17" s="177">
        <v>2730097.11</v>
      </c>
      <c r="K17" s="177">
        <v>3586098.87</v>
      </c>
      <c r="L17" s="177">
        <v>3659302.58</v>
      </c>
      <c r="M17" s="177">
        <v>4119862.68</v>
      </c>
      <c r="N17" s="177">
        <v>4335098.2699999996</v>
      </c>
      <c r="O17" s="177">
        <v>4814333.95</v>
      </c>
      <c r="P17" s="177">
        <v>5924118.96</v>
      </c>
      <c r="Q17" s="177">
        <v>6231404.5199999996</v>
      </c>
      <c r="R17" s="177">
        <v>8236892.1399999997</v>
      </c>
      <c r="S17" s="178">
        <f t="shared" si="0"/>
        <v>3949911.2453846154</v>
      </c>
    </row>
    <row r="18" spans="1:19" ht="15">
      <c r="A18" s="175">
        <f>+A17+1</f>
        <v>9</v>
      </c>
      <c r="B18" s="132"/>
      <c r="C18" s="176" t="s">
        <v>856</v>
      </c>
      <c r="D18" s="46"/>
      <c r="E18" s="115" t="s">
        <v>848</v>
      </c>
      <c r="F18" s="177">
        <v>155467.01999999999</v>
      </c>
      <c r="G18" s="177">
        <v>164542.57999999999</v>
      </c>
      <c r="H18" s="177">
        <v>189163.78</v>
      </c>
      <c r="I18" s="177">
        <v>209383.49</v>
      </c>
      <c r="J18" s="177">
        <v>241801.1</v>
      </c>
      <c r="K18" s="177">
        <v>325563.57</v>
      </c>
      <c r="L18" s="177">
        <v>381160.34</v>
      </c>
      <c r="M18" s="177">
        <v>483059.82</v>
      </c>
      <c r="N18" s="177">
        <v>506633.08</v>
      </c>
      <c r="O18" s="177">
        <v>502535.75</v>
      </c>
      <c r="P18" s="177">
        <v>2145446.36</v>
      </c>
      <c r="Q18" s="177">
        <v>2181320.0299999998</v>
      </c>
      <c r="R18" s="177">
        <v>2629272.4500000002</v>
      </c>
      <c r="S18" s="178">
        <f t="shared" ref="S18:S19" si="2">AVERAGE(F18:R18)</f>
        <v>778103.79769230774</v>
      </c>
    </row>
    <row r="19" spans="1:19" ht="15">
      <c r="A19" s="175">
        <f>+A18+1</f>
        <v>10</v>
      </c>
      <c r="B19" s="132"/>
      <c r="C19" s="176" t="s">
        <v>857</v>
      </c>
      <c r="D19" s="46"/>
      <c r="E19" s="115" t="s">
        <v>848</v>
      </c>
      <c r="F19" s="177">
        <v>569.07000000000005</v>
      </c>
      <c r="G19" s="177">
        <v>1142.3</v>
      </c>
      <c r="H19" s="177">
        <v>1147.6099999999999</v>
      </c>
      <c r="I19" s="177">
        <v>1152.4000000000001</v>
      </c>
      <c r="J19" s="177">
        <v>2460.16</v>
      </c>
      <c r="K19" s="177">
        <v>255231.73</v>
      </c>
      <c r="L19" s="177">
        <v>255476.42</v>
      </c>
      <c r="M19" s="177">
        <v>265111.55</v>
      </c>
      <c r="N19" s="177">
        <v>490982.15</v>
      </c>
      <c r="O19" s="177">
        <v>560453.74</v>
      </c>
      <c r="P19" s="177">
        <v>785062.31</v>
      </c>
      <c r="Q19" s="177">
        <v>873988.73</v>
      </c>
      <c r="R19" s="177">
        <v>1230005.07</v>
      </c>
      <c r="S19" s="178">
        <f t="shared" si="2"/>
        <v>363291.01846153848</v>
      </c>
    </row>
    <row r="20" spans="1:19" ht="15">
      <c r="A20" s="175">
        <f t="shared" ref="A20:A33" si="3">+A19+1</f>
        <v>11</v>
      </c>
      <c r="B20" s="132"/>
      <c r="C20" s="176" t="s">
        <v>999</v>
      </c>
      <c r="D20" s="46"/>
      <c r="E20" s="115" t="s">
        <v>848</v>
      </c>
      <c r="F20" s="177">
        <v>75316</v>
      </c>
      <c r="G20" s="177">
        <v>112347</v>
      </c>
      <c r="H20" s="177">
        <v>104104</v>
      </c>
      <c r="I20" s="177">
        <v>167726</v>
      </c>
      <c r="J20" s="177">
        <v>572754</v>
      </c>
      <c r="K20" s="177">
        <v>623083</v>
      </c>
      <c r="L20" s="177">
        <v>629163</v>
      </c>
      <c r="M20" s="177">
        <v>0</v>
      </c>
      <c r="N20" s="177">
        <v>0</v>
      </c>
      <c r="O20" s="177">
        <v>0</v>
      </c>
      <c r="P20" s="177">
        <v>0</v>
      </c>
      <c r="Q20" s="177">
        <v>0</v>
      </c>
      <c r="R20" s="177">
        <v>0</v>
      </c>
      <c r="S20" s="178">
        <f>AVERAGE(F20:R20)</f>
        <v>175730.23076923078</v>
      </c>
    </row>
    <row r="21" spans="1:19" ht="15">
      <c r="A21" s="175">
        <f t="shared" si="3"/>
        <v>12</v>
      </c>
      <c r="B21" s="132"/>
      <c r="C21" s="176" t="s">
        <v>793</v>
      </c>
      <c r="D21" s="46"/>
      <c r="E21" s="115"/>
      <c r="F21" s="177">
        <v>0</v>
      </c>
      <c r="G21" s="177">
        <v>0</v>
      </c>
      <c r="H21" s="177">
        <v>0</v>
      </c>
      <c r="I21" s="177">
        <v>0</v>
      </c>
      <c r="J21" s="177">
        <v>0</v>
      </c>
      <c r="K21" s="177">
        <v>0</v>
      </c>
      <c r="L21" s="177">
        <v>0</v>
      </c>
      <c r="M21" s="177">
        <v>0</v>
      </c>
      <c r="N21" s="177">
        <v>0</v>
      </c>
      <c r="O21" s="177">
        <v>0</v>
      </c>
      <c r="P21" s="177">
        <v>0</v>
      </c>
      <c r="Q21" s="177">
        <v>0</v>
      </c>
      <c r="R21" s="177">
        <v>0</v>
      </c>
      <c r="S21" s="178">
        <f t="shared" ref="S21:S33" si="4">AVERAGE(F21:R21)</f>
        <v>0</v>
      </c>
    </row>
    <row r="22" spans="1:19" ht="15">
      <c r="A22" s="175">
        <f t="shared" si="3"/>
        <v>13</v>
      </c>
      <c r="B22" s="132"/>
      <c r="C22" s="176" t="s">
        <v>794</v>
      </c>
      <c r="D22" s="46"/>
      <c r="E22" s="115"/>
      <c r="F22" s="177">
        <v>0</v>
      </c>
      <c r="G22" s="177">
        <v>0</v>
      </c>
      <c r="H22" s="177">
        <v>0</v>
      </c>
      <c r="I22" s="177">
        <v>0</v>
      </c>
      <c r="J22" s="177">
        <v>0</v>
      </c>
      <c r="K22" s="177">
        <v>0</v>
      </c>
      <c r="L22" s="177">
        <v>0</v>
      </c>
      <c r="M22" s="177">
        <v>0</v>
      </c>
      <c r="N22" s="177">
        <v>0</v>
      </c>
      <c r="O22" s="177">
        <v>0</v>
      </c>
      <c r="P22" s="177">
        <v>0</v>
      </c>
      <c r="Q22" s="177">
        <v>0</v>
      </c>
      <c r="R22" s="177">
        <v>0</v>
      </c>
      <c r="S22" s="178">
        <f t="shared" si="4"/>
        <v>0</v>
      </c>
    </row>
    <row r="23" spans="1:19" ht="15">
      <c r="A23" s="175">
        <f t="shared" si="3"/>
        <v>14</v>
      </c>
      <c r="B23" s="132"/>
      <c r="C23" s="176" t="s">
        <v>795</v>
      </c>
      <c r="D23" s="46"/>
      <c r="E23" s="115"/>
      <c r="F23" s="177">
        <v>0</v>
      </c>
      <c r="G23" s="177">
        <v>0</v>
      </c>
      <c r="H23" s="177">
        <v>0</v>
      </c>
      <c r="I23" s="177">
        <v>0</v>
      </c>
      <c r="J23" s="177">
        <v>0</v>
      </c>
      <c r="K23" s="177">
        <v>0</v>
      </c>
      <c r="L23" s="177">
        <v>0</v>
      </c>
      <c r="M23" s="177">
        <v>0</v>
      </c>
      <c r="N23" s="177">
        <v>0</v>
      </c>
      <c r="O23" s="177">
        <v>0</v>
      </c>
      <c r="P23" s="177">
        <v>0</v>
      </c>
      <c r="Q23" s="177">
        <v>0</v>
      </c>
      <c r="R23" s="177">
        <v>0</v>
      </c>
      <c r="S23" s="178">
        <f t="shared" si="4"/>
        <v>0</v>
      </c>
    </row>
    <row r="24" spans="1:19" ht="15">
      <c r="A24" s="175">
        <f t="shared" si="3"/>
        <v>15</v>
      </c>
      <c r="B24" s="132"/>
      <c r="C24" s="176" t="s">
        <v>601</v>
      </c>
      <c r="D24" s="46"/>
      <c r="E24" s="115"/>
      <c r="F24" s="177">
        <v>0</v>
      </c>
      <c r="G24" s="177">
        <v>0</v>
      </c>
      <c r="H24" s="177">
        <v>0</v>
      </c>
      <c r="I24" s="177">
        <v>0</v>
      </c>
      <c r="J24" s="177">
        <v>0</v>
      </c>
      <c r="K24" s="177">
        <v>0</v>
      </c>
      <c r="L24" s="177">
        <v>0</v>
      </c>
      <c r="M24" s="177">
        <v>0</v>
      </c>
      <c r="N24" s="177">
        <v>0</v>
      </c>
      <c r="O24" s="177">
        <v>0</v>
      </c>
      <c r="P24" s="177">
        <v>0</v>
      </c>
      <c r="Q24" s="177">
        <v>0</v>
      </c>
      <c r="R24" s="177">
        <v>0</v>
      </c>
      <c r="S24" s="178">
        <f t="shared" si="4"/>
        <v>0</v>
      </c>
    </row>
    <row r="25" spans="1:19" ht="15">
      <c r="A25" s="175">
        <f t="shared" si="3"/>
        <v>16</v>
      </c>
      <c r="B25" s="132"/>
      <c r="C25" s="176" t="s">
        <v>602</v>
      </c>
      <c r="D25" s="46"/>
      <c r="E25" s="115"/>
      <c r="F25" s="177">
        <v>0</v>
      </c>
      <c r="G25" s="177">
        <v>0</v>
      </c>
      <c r="H25" s="177">
        <v>0</v>
      </c>
      <c r="I25" s="177">
        <v>0</v>
      </c>
      <c r="J25" s="177">
        <v>0</v>
      </c>
      <c r="K25" s="177">
        <v>0</v>
      </c>
      <c r="L25" s="177">
        <v>0</v>
      </c>
      <c r="M25" s="177">
        <v>0</v>
      </c>
      <c r="N25" s="177">
        <v>0</v>
      </c>
      <c r="O25" s="177">
        <v>0</v>
      </c>
      <c r="P25" s="177">
        <v>0</v>
      </c>
      <c r="Q25" s="177">
        <v>0</v>
      </c>
      <c r="R25" s="177">
        <v>0</v>
      </c>
      <c r="S25" s="178">
        <f t="shared" si="4"/>
        <v>0</v>
      </c>
    </row>
    <row r="26" spans="1:19" ht="15">
      <c r="A26" s="175">
        <f t="shared" si="3"/>
        <v>17</v>
      </c>
      <c r="B26" s="132"/>
      <c r="C26" s="176" t="s">
        <v>603</v>
      </c>
      <c r="D26" s="46"/>
      <c r="E26" s="115"/>
      <c r="F26" s="177">
        <v>0</v>
      </c>
      <c r="G26" s="177">
        <v>0</v>
      </c>
      <c r="H26" s="177">
        <v>0</v>
      </c>
      <c r="I26" s="177">
        <v>0</v>
      </c>
      <c r="J26" s="177">
        <v>0</v>
      </c>
      <c r="K26" s="177">
        <v>0</v>
      </c>
      <c r="L26" s="177">
        <v>0</v>
      </c>
      <c r="M26" s="177">
        <v>0</v>
      </c>
      <c r="N26" s="177">
        <v>0</v>
      </c>
      <c r="O26" s="177">
        <v>0</v>
      </c>
      <c r="P26" s="177">
        <v>0</v>
      </c>
      <c r="Q26" s="177">
        <v>0</v>
      </c>
      <c r="R26" s="177">
        <v>0</v>
      </c>
      <c r="S26" s="178">
        <f t="shared" si="4"/>
        <v>0</v>
      </c>
    </row>
    <row r="27" spans="1:19" ht="15">
      <c r="A27" s="175">
        <f t="shared" si="3"/>
        <v>18</v>
      </c>
      <c r="B27" s="132"/>
      <c r="C27" s="176" t="s">
        <v>604</v>
      </c>
      <c r="D27" s="46"/>
      <c r="E27" s="115"/>
      <c r="F27" s="177">
        <v>0</v>
      </c>
      <c r="G27" s="177">
        <v>0</v>
      </c>
      <c r="H27" s="177">
        <v>0</v>
      </c>
      <c r="I27" s="177">
        <v>0</v>
      </c>
      <c r="J27" s="177">
        <v>0</v>
      </c>
      <c r="K27" s="177">
        <v>0</v>
      </c>
      <c r="L27" s="177">
        <v>0</v>
      </c>
      <c r="M27" s="177">
        <v>0</v>
      </c>
      <c r="N27" s="177">
        <v>0</v>
      </c>
      <c r="O27" s="177">
        <v>0</v>
      </c>
      <c r="P27" s="177">
        <v>0</v>
      </c>
      <c r="Q27" s="177">
        <v>0</v>
      </c>
      <c r="R27" s="177">
        <v>0</v>
      </c>
      <c r="S27" s="178">
        <f t="shared" si="4"/>
        <v>0</v>
      </c>
    </row>
    <row r="28" spans="1:19" ht="15">
      <c r="A28" s="175">
        <f t="shared" si="3"/>
        <v>19</v>
      </c>
      <c r="B28" s="132"/>
      <c r="C28" s="176" t="s">
        <v>605</v>
      </c>
      <c r="D28" s="46"/>
      <c r="E28" s="115"/>
      <c r="F28" s="177">
        <v>0</v>
      </c>
      <c r="G28" s="177">
        <v>0</v>
      </c>
      <c r="H28" s="177">
        <v>0</v>
      </c>
      <c r="I28" s="177">
        <v>0</v>
      </c>
      <c r="J28" s="177">
        <v>0</v>
      </c>
      <c r="K28" s="177">
        <v>0</v>
      </c>
      <c r="L28" s="177">
        <v>0</v>
      </c>
      <c r="M28" s="177">
        <v>0</v>
      </c>
      <c r="N28" s="177">
        <v>0</v>
      </c>
      <c r="O28" s="177">
        <v>0</v>
      </c>
      <c r="P28" s="177">
        <v>0</v>
      </c>
      <c r="Q28" s="177">
        <v>0</v>
      </c>
      <c r="R28" s="177">
        <v>0</v>
      </c>
      <c r="S28" s="178">
        <f t="shared" si="4"/>
        <v>0</v>
      </c>
    </row>
    <row r="29" spans="1:19" ht="15">
      <c r="A29" s="175">
        <f t="shared" si="3"/>
        <v>20</v>
      </c>
      <c r="B29" s="132"/>
      <c r="C29" s="176" t="s">
        <v>606</v>
      </c>
      <c r="D29" s="46"/>
      <c r="E29" s="115"/>
      <c r="F29" s="177">
        <v>0</v>
      </c>
      <c r="G29" s="177">
        <v>0</v>
      </c>
      <c r="H29" s="177">
        <v>0</v>
      </c>
      <c r="I29" s="177">
        <v>0</v>
      </c>
      <c r="J29" s="177">
        <v>0</v>
      </c>
      <c r="K29" s="177">
        <v>0</v>
      </c>
      <c r="L29" s="177">
        <v>0</v>
      </c>
      <c r="M29" s="177">
        <v>0</v>
      </c>
      <c r="N29" s="177">
        <v>0</v>
      </c>
      <c r="O29" s="177">
        <v>0</v>
      </c>
      <c r="P29" s="177">
        <v>0</v>
      </c>
      <c r="Q29" s="177">
        <v>0</v>
      </c>
      <c r="R29" s="177">
        <v>0</v>
      </c>
      <c r="S29" s="178">
        <f t="shared" si="4"/>
        <v>0</v>
      </c>
    </row>
    <row r="30" spans="1:19" ht="15">
      <c r="A30" s="175">
        <f t="shared" si="3"/>
        <v>21</v>
      </c>
      <c r="B30" s="132"/>
      <c r="C30" s="176" t="s">
        <v>607</v>
      </c>
      <c r="D30" s="46"/>
      <c r="E30" s="115"/>
      <c r="F30" s="177">
        <v>0</v>
      </c>
      <c r="G30" s="177">
        <v>0</v>
      </c>
      <c r="H30" s="177">
        <v>0</v>
      </c>
      <c r="I30" s="177">
        <v>0</v>
      </c>
      <c r="J30" s="177">
        <v>0</v>
      </c>
      <c r="K30" s="177">
        <v>0</v>
      </c>
      <c r="L30" s="177">
        <v>0</v>
      </c>
      <c r="M30" s="177">
        <v>0</v>
      </c>
      <c r="N30" s="177">
        <v>0</v>
      </c>
      <c r="O30" s="177">
        <v>0</v>
      </c>
      <c r="P30" s="177">
        <v>0</v>
      </c>
      <c r="Q30" s="177">
        <v>0</v>
      </c>
      <c r="R30" s="177">
        <v>0</v>
      </c>
      <c r="S30" s="178">
        <f t="shared" si="4"/>
        <v>0</v>
      </c>
    </row>
    <row r="31" spans="1:19" ht="15">
      <c r="A31" s="175">
        <f t="shared" si="3"/>
        <v>22</v>
      </c>
      <c r="B31" s="132"/>
      <c r="C31" s="176" t="s">
        <v>608</v>
      </c>
      <c r="D31" s="46"/>
      <c r="E31" s="115"/>
      <c r="F31" s="177">
        <v>0</v>
      </c>
      <c r="G31" s="177">
        <v>0</v>
      </c>
      <c r="H31" s="177">
        <v>0</v>
      </c>
      <c r="I31" s="177">
        <v>0</v>
      </c>
      <c r="J31" s="177">
        <v>0</v>
      </c>
      <c r="K31" s="177">
        <v>0</v>
      </c>
      <c r="L31" s="177">
        <v>0</v>
      </c>
      <c r="M31" s="177">
        <v>0</v>
      </c>
      <c r="N31" s="177">
        <v>0</v>
      </c>
      <c r="O31" s="177">
        <v>0</v>
      </c>
      <c r="P31" s="177">
        <v>0</v>
      </c>
      <c r="Q31" s="177">
        <v>0</v>
      </c>
      <c r="R31" s="177">
        <v>0</v>
      </c>
      <c r="S31" s="178">
        <f t="shared" si="4"/>
        <v>0</v>
      </c>
    </row>
    <row r="32" spans="1:19" ht="15">
      <c r="A32" s="175">
        <f t="shared" si="3"/>
        <v>23</v>
      </c>
      <c r="B32" s="132"/>
      <c r="C32" s="176" t="s">
        <v>609</v>
      </c>
      <c r="D32" s="46"/>
      <c r="E32" s="115"/>
      <c r="F32" s="177">
        <v>0</v>
      </c>
      <c r="G32" s="177">
        <v>0</v>
      </c>
      <c r="H32" s="177">
        <v>0</v>
      </c>
      <c r="I32" s="177">
        <v>0</v>
      </c>
      <c r="J32" s="177">
        <v>0</v>
      </c>
      <c r="K32" s="177">
        <v>0</v>
      </c>
      <c r="L32" s="177">
        <v>0</v>
      </c>
      <c r="M32" s="177">
        <v>0</v>
      </c>
      <c r="N32" s="177">
        <v>0</v>
      </c>
      <c r="O32" s="177">
        <v>0</v>
      </c>
      <c r="P32" s="177">
        <v>0</v>
      </c>
      <c r="Q32" s="177">
        <v>0</v>
      </c>
      <c r="R32" s="177">
        <v>0</v>
      </c>
      <c r="S32" s="178">
        <f t="shared" si="4"/>
        <v>0</v>
      </c>
    </row>
    <row r="33" spans="1:19" ht="15">
      <c r="A33" s="175">
        <f t="shared" si="3"/>
        <v>24</v>
      </c>
      <c r="B33" s="132"/>
      <c r="C33" s="176" t="s">
        <v>610</v>
      </c>
      <c r="D33" s="46"/>
      <c r="E33" s="115"/>
      <c r="F33" s="177">
        <v>0</v>
      </c>
      <c r="G33" s="177">
        <v>0</v>
      </c>
      <c r="H33" s="177">
        <v>0</v>
      </c>
      <c r="I33" s="177">
        <v>0</v>
      </c>
      <c r="J33" s="177">
        <v>0</v>
      </c>
      <c r="K33" s="177">
        <v>0</v>
      </c>
      <c r="L33" s="177">
        <v>0</v>
      </c>
      <c r="M33" s="177">
        <v>0</v>
      </c>
      <c r="N33" s="177">
        <v>0</v>
      </c>
      <c r="O33" s="177">
        <v>0</v>
      </c>
      <c r="P33" s="177">
        <v>0</v>
      </c>
      <c r="Q33" s="177">
        <v>0</v>
      </c>
      <c r="R33" s="177">
        <v>0</v>
      </c>
      <c r="S33" s="178">
        <f t="shared" si="4"/>
        <v>0</v>
      </c>
    </row>
    <row r="34" spans="1:19" ht="15">
      <c r="A34" s="175"/>
      <c r="B34" s="132"/>
      <c r="C34" s="46"/>
      <c r="D34" s="46"/>
      <c r="E34" s="115"/>
      <c r="F34" s="180"/>
      <c r="G34" s="180"/>
      <c r="H34" s="180"/>
      <c r="I34" s="180"/>
      <c r="J34" s="180"/>
      <c r="K34" s="180"/>
      <c r="L34" s="180"/>
      <c r="M34" s="180"/>
      <c r="N34" s="180"/>
      <c r="O34" s="180"/>
      <c r="P34" s="180"/>
      <c r="Q34" s="180"/>
      <c r="R34" s="180"/>
      <c r="S34" s="181"/>
    </row>
    <row r="35" spans="1:19" ht="15">
      <c r="A35" s="175">
        <f>+A33+1</f>
        <v>25</v>
      </c>
      <c r="B35" s="132"/>
      <c r="C35" s="46" t="s">
        <v>64</v>
      </c>
      <c r="D35" s="46"/>
      <c r="E35" s="115"/>
      <c r="F35" s="181">
        <f>+SUM(F10:F33)</f>
        <v>14635667.5</v>
      </c>
      <c r="G35" s="181">
        <f t="shared" ref="G35:R35" si="5">+SUM(G10:G33)</f>
        <v>15166541.050000003</v>
      </c>
      <c r="H35" s="181">
        <f t="shared" si="5"/>
        <v>8216819.75</v>
      </c>
      <c r="I35" s="181">
        <f t="shared" si="5"/>
        <v>7884188.1300000008</v>
      </c>
      <c r="J35" s="181">
        <f t="shared" si="5"/>
        <v>8835011.6600000001</v>
      </c>
      <c r="K35" s="181">
        <f t="shared" si="5"/>
        <v>11972521.74</v>
      </c>
      <c r="L35" s="181">
        <f>+SUM(L10:L33)</f>
        <v>14058738.07</v>
      </c>
      <c r="M35" s="181">
        <f t="shared" si="5"/>
        <v>14403138.560000001</v>
      </c>
      <c r="N35" s="181">
        <f t="shared" si="5"/>
        <v>17206432.210000001</v>
      </c>
      <c r="O35" s="181">
        <f t="shared" si="5"/>
        <v>20025300.969999999</v>
      </c>
      <c r="P35" s="181">
        <f t="shared" si="5"/>
        <v>24801050.559999999</v>
      </c>
      <c r="Q35" s="181">
        <f t="shared" si="5"/>
        <v>26331969.73</v>
      </c>
      <c r="R35" s="181">
        <f t="shared" si="5"/>
        <v>32307547.329999998</v>
      </c>
      <c r="S35" s="181">
        <f>+SUM(S10:S33)</f>
        <v>16603455.943076923</v>
      </c>
    </row>
    <row r="36" spans="1:19" ht="15.75" thickBot="1">
      <c r="A36" s="182"/>
      <c r="B36" s="183"/>
      <c r="C36" s="184"/>
      <c r="D36" s="184"/>
      <c r="E36" s="185"/>
      <c r="F36" s="186"/>
      <c r="G36" s="186"/>
      <c r="H36" s="186"/>
      <c r="I36" s="186"/>
      <c r="J36" s="186"/>
      <c r="K36" s="186"/>
      <c r="L36" s="186"/>
      <c r="M36" s="186"/>
      <c r="N36" s="186"/>
      <c r="O36" s="186"/>
      <c r="P36" s="186"/>
      <c r="Q36" s="186"/>
      <c r="R36" s="186"/>
      <c r="S36" s="186"/>
    </row>
    <row r="39" spans="1:19" ht="15">
      <c r="A39" s="45" t="s">
        <v>611</v>
      </c>
      <c r="B39" s="45"/>
      <c r="C39" s="45"/>
      <c r="D39" s="45"/>
      <c r="E39" s="45"/>
      <c r="F39" s="45"/>
    </row>
  </sheetData>
  <mergeCells count="1">
    <mergeCell ref="G7:R7"/>
  </mergeCells>
  <phoneticPr fontId="27" type="noConversion"/>
  <pageMargins left="0.7" right="0.7" top="0.75" bottom="0.75" header="0.3" footer="0.3"/>
  <pageSetup scale="27" orientation="landscape" verticalDpi="1200" r:id="rId1"/>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2:M74"/>
  <sheetViews>
    <sheetView showGridLines="0" topLeftCell="A24" zoomScale="85" zoomScaleNormal="85" workbookViewId="0">
      <selection activeCell="D308" sqref="D308"/>
    </sheetView>
  </sheetViews>
  <sheetFormatPr defaultColWidth="9.28515625" defaultRowHeight="14.25"/>
  <cols>
    <col min="1" max="1" width="5.7109375" style="46" customWidth="1"/>
    <col min="2" max="2" width="13.28515625" style="115" customWidth="1"/>
    <col min="3" max="3" width="39.28515625" style="46" customWidth="1"/>
    <col min="4" max="4" width="16.7109375" style="46" customWidth="1"/>
    <col min="5" max="5" width="17.7109375" style="46" customWidth="1"/>
    <col min="6" max="6" width="15.140625" style="46" customWidth="1"/>
    <col min="7" max="7" width="34.42578125" style="46" customWidth="1"/>
    <col min="8" max="8" width="19.42578125" style="46" customWidth="1"/>
    <col min="9" max="9" width="14.28515625" style="46" bestFit="1" customWidth="1"/>
    <col min="10" max="10" width="15.42578125" style="46" customWidth="1"/>
    <col min="11" max="11" width="19.28515625" style="46" customWidth="1"/>
    <col min="12" max="12" width="9.28515625" style="46"/>
    <col min="13" max="13" width="10.28515625" style="46" customWidth="1"/>
    <col min="14" max="16384" width="9.28515625" style="46"/>
  </cols>
  <sheetData>
    <row r="2" spans="2:12" ht="15">
      <c r="B2" s="711" t="str">
        <f>+'Appendix A'!A3</f>
        <v>Dayton Power and Light</v>
      </c>
      <c r="C2" s="711"/>
      <c r="D2" s="711"/>
      <c r="E2" s="711"/>
      <c r="F2" s="711"/>
      <c r="G2" s="711"/>
      <c r="H2" s="711"/>
      <c r="I2" s="711"/>
      <c r="J2" s="711"/>
      <c r="K2" s="711"/>
      <c r="L2" s="711"/>
    </row>
    <row r="3" spans="2:12" ht="15">
      <c r="B3" s="711" t="str">
        <f>+'Appendix A'!A4</f>
        <v xml:space="preserve">ATTACHMENT H-15A </v>
      </c>
      <c r="C3" s="711"/>
      <c r="D3" s="711"/>
      <c r="E3" s="711"/>
      <c r="F3" s="711"/>
      <c r="G3" s="711"/>
      <c r="H3" s="711"/>
      <c r="I3" s="711"/>
      <c r="J3" s="711"/>
      <c r="K3" s="24"/>
      <c r="L3" s="44"/>
    </row>
    <row r="4" spans="2:12" ht="15">
      <c r="B4" s="711" t="s">
        <v>1013</v>
      </c>
      <c r="C4" s="711"/>
      <c r="D4" s="711"/>
      <c r="E4" s="711"/>
      <c r="F4" s="711"/>
      <c r="G4" s="711"/>
      <c r="H4" s="711"/>
      <c r="I4" s="711"/>
      <c r="J4" s="711"/>
      <c r="K4" s="711"/>
      <c r="L4" s="711"/>
    </row>
    <row r="5" spans="2:12" ht="15">
      <c r="B5" s="44"/>
      <c r="C5" s="44"/>
      <c r="D5" s="44"/>
      <c r="E5" s="44"/>
      <c r="F5" s="44"/>
      <c r="G5" s="44"/>
      <c r="H5" s="44"/>
      <c r="I5" s="44"/>
      <c r="J5" s="44"/>
      <c r="K5" s="44"/>
      <c r="L5" s="44"/>
    </row>
    <row r="6" spans="2:12">
      <c r="B6" s="6" t="s">
        <v>366</v>
      </c>
    </row>
    <row r="7" spans="2:12">
      <c r="B7" s="133" t="s">
        <v>612</v>
      </c>
    </row>
    <row r="9" spans="2:12">
      <c r="B9" s="115" t="s">
        <v>308</v>
      </c>
      <c r="C9" s="46" t="s">
        <v>613</v>
      </c>
    </row>
    <row r="10" spans="2:12">
      <c r="C10" s="46" t="s">
        <v>614</v>
      </c>
    </row>
    <row r="11" spans="2:12">
      <c r="C11" s="46" t="s">
        <v>615</v>
      </c>
      <c r="H11" s="140"/>
    </row>
    <row r="12" spans="2:12">
      <c r="H12" s="140"/>
    </row>
    <row r="13" spans="2:12">
      <c r="B13" s="115" t="s">
        <v>616</v>
      </c>
      <c r="C13" s="46" t="s">
        <v>617</v>
      </c>
      <c r="H13" s="140"/>
    </row>
    <row r="14" spans="2:12">
      <c r="C14" s="46" t="s">
        <v>618</v>
      </c>
    </row>
    <row r="16" spans="2:12">
      <c r="B16" s="115" t="s">
        <v>619</v>
      </c>
      <c r="C16" s="46" t="s">
        <v>620</v>
      </c>
    </row>
    <row r="17" spans="2:13">
      <c r="C17" s="46" t="s">
        <v>621</v>
      </c>
    </row>
    <row r="19" spans="2:13">
      <c r="B19" s="115" t="s">
        <v>962</v>
      </c>
      <c r="C19" s="46" t="s">
        <v>622</v>
      </c>
    </row>
    <row r="20" spans="2:13">
      <c r="K20" s="141"/>
    </row>
    <row r="21" spans="2:13">
      <c r="C21" s="46" t="s">
        <v>623</v>
      </c>
      <c r="D21" s="115" t="s">
        <v>624</v>
      </c>
      <c r="E21" s="46" t="s">
        <v>625</v>
      </c>
    </row>
    <row r="22" spans="2:13">
      <c r="E22" s="46" t="s">
        <v>626</v>
      </c>
    </row>
    <row r="23" spans="2:13">
      <c r="E23" s="46" t="s">
        <v>627</v>
      </c>
      <c r="K23" s="85"/>
    </row>
    <row r="26" spans="2:13" ht="16.5">
      <c r="B26" s="1"/>
      <c r="C26" s="46" t="s">
        <v>628</v>
      </c>
    </row>
    <row r="27" spans="2:13" ht="16.5">
      <c r="B27" s="2"/>
      <c r="C27" s="46" t="s">
        <v>629</v>
      </c>
    </row>
    <row r="28" spans="2:13">
      <c r="C28" s="46" t="s">
        <v>630</v>
      </c>
    </row>
    <row r="29" spans="2:13" ht="15">
      <c r="C29" s="46" t="s">
        <v>631</v>
      </c>
      <c r="M29" s="132"/>
    </row>
    <row r="30" spans="2:13">
      <c r="C30" s="46" t="s">
        <v>632</v>
      </c>
    </row>
    <row r="31" spans="2:13">
      <c r="C31" s="46" t="s">
        <v>633</v>
      </c>
    </row>
    <row r="34" spans="1:13">
      <c r="A34" s="142" t="s">
        <v>634</v>
      </c>
      <c r="D34" s="115"/>
      <c r="I34" s="115" t="s">
        <v>635</v>
      </c>
      <c r="J34" s="115" t="s">
        <v>636</v>
      </c>
    </row>
    <row r="35" spans="1:13">
      <c r="D35" s="115"/>
      <c r="I35" s="143" t="s">
        <v>637</v>
      </c>
      <c r="J35" s="143" t="s">
        <v>637</v>
      </c>
      <c r="K35" s="142" t="s">
        <v>638</v>
      </c>
    </row>
    <row r="36" spans="1:13">
      <c r="A36" s="115">
        <v>1</v>
      </c>
      <c r="B36" s="115" t="s">
        <v>194</v>
      </c>
      <c r="C36" s="46" t="s">
        <v>639</v>
      </c>
      <c r="D36" s="115"/>
      <c r="I36" s="38">
        <v>0</v>
      </c>
      <c r="J36" s="144"/>
      <c r="M36" s="145"/>
    </row>
    <row r="37" spans="1:13" ht="15">
      <c r="A37" s="115">
        <f>+A36+1</f>
        <v>2</v>
      </c>
      <c r="B37" s="115" t="s">
        <v>196</v>
      </c>
      <c r="C37" s="46" t="s">
        <v>640</v>
      </c>
      <c r="D37" s="115"/>
      <c r="I37" s="146">
        <v>0</v>
      </c>
      <c r="J37" s="147"/>
      <c r="M37" s="132"/>
    </row>
    <row r="38" spans="1:13">
      <c r="A38" s="115">
        <f t="shared" ref="A38:A40" si="0">+A37+1</f>
        <v>3</v>
      </c>
      <c r="B38" s="115" t="s">
        <v>197</v>
      </c>
      <c r="C38" s="46" t="s">
        <v>641</v>
      </c>
      <c r="D38" s="115"/>
      <c r="I38" s="122">
        <f>+I36-I37</f>
        <v>0</v>
      </c>
      <c r="J38" s="122">
        <f>+I38</f>
        <v>0</v>
      </c>
    </row>
    <row r="39" spans="1:13">
      <c r="A39" s="115">
        <f t="shared" si="0"/>
        <v>4</v>
      </c>
      <c r="B39" s="115" t="s">
        <v>198</v>
      </c>
      <c r="C39" s="46" t="s">
        <v>642</v>
      </c>
      <c r="D39" s="115"/>
      <c r="I39" s="148">
        <f>(1+E74)^24</f>
        <v>1</v>
      </c>
      <c r="J39" s="148">
        <f>(1+F74)^24</f>
        <v>1</v>
      </c>
    </row>
    <row r="40" spans="1:13">
      <c r="A40" s="115">
        <f t="shared" si="0"/>
        <v>5</v>
      </c>
      <c r="B40" s="115" t="s">
        <v>200</v>
      </c>
      <c r="C40" s="46" t="s">
        <v>643</v>
      </c>
      <c r="D40" s="115"/>
      <c r="I40" s="122">
        <f>+I38*I39</f>
        <v>0</v>
      </c>
      <c r="J40" s="122">
        <f>+J38*J39</f>
        <v>0</v>
      </c>
      <c r="K40" s="122">
        <f>+J40-I40</f>
        <v>0</v>
      </c>
    </row>
    <row r="41" spans="1:13">
      <c r="A41" s="115">
        <f>+A40+1</f>
        <v>6</v>
      </c>
      <c r="B41" s="115" t="s">
        <v>202</v>
      </c>
      <c r="C41" s="46" t="s">
        <v>644</v>
      </c>
      <c r="D41" s="115"/>
      <c r="H41" s="122"/>
      <c r="I41" s="122">
        <f>+I40+K40</f>
        <v>0</v>
      </c>
    </row>
    <row r="42" spans="1:13">
      <c r="A42" s="115"/>
      <c r="D42" s="115"/>
    </row>
    <row r="43" spans="1:13">
      <c r="A43" s="115"/>
      <c r="C43" s="46" t="s">
        <v>645</v>
      </c>
      <c r="H43" s="149"/>
    </row>
    <row r="44" spans="1:13">
      <c r="A44" s="115"/>
      <c r="C44" s="46" t="s">
        <v>646</v>
      </c>
      <c r="H44" s="150"/>
      <c r="I44" s="150"/>
      <c r="J44" s="151"/>
    </row>
    <row r="45" spans="1:13">
      <c r="A45" s="115"/>
      <c r="H45" s="152"/>
      <c r="I45" s="115"/>
      <c r="J45" s="115"/>
      <c r="K45" s="115"/>
    </row>
    <row r="46" spans="1:13">
      <c r="A46" s="115"/>
      <c r="B46" s="133" t="s">
        <v>647</v>
      </c>
      <c r="E46" s="115" t="s">
        <v>635</v>
      </c>
      <c r="F46" s="115" t="s">
        <v>648</v>
      </c>
      <c r="H46" s="152"/>
      <c r="I46" s="115"/>
      <c r="J46" s="115"/>
      <c r="K46" s="115"/>
    </row>
    <row r="47" spans="1:13" ht="15">
      <c r="A47" s="115"/>
      <c r="B47" s="46"/>
      <c r="C47" s="115"/>
      <c r="E47" s="115" t="s">
        <v>649</v>
      </c>
      <c r="F47" s="115" t="s">
        <v>649</v>
      </c>
      <c r="H47" s="153"/>
      <c r="I47" s="152"/>
      <c r="J47" s="149"/>
    </row>
    <row r="48" spans="1:13" ht="16.5">
      <c r="A48" s="115"/>
      <c r="B48" s="154" t="s">
        <v>370</v>
      </c>
      <c r="C48" s="143" t="s">
        <v>318</v>
      </c>
      <c r="E48" s="143" t="s">
        <v>637</v>
      </c>
      <c r="F48" s="143" t="s">
        <v>637</v>
      </c>
      <c r="H48" s="155"/>
      <c r="I48" s="151"/>
      <c r="J48" s="156"/>
    </row>
    <row r="49" spans="1:10">
      <c r="A49" s="115">
        <f>+A41+1</f>
        <v>7</v>
      </c>
      <c r="B49" s="133" t="s">
        <v>337</v>
      </c>
      <c r="C49" s="115" t="s">
        <v>650</v>
      </c>
      <c r="E49" s="157">
        <v>0</v>
      </c>
      <c r="F49" s="157">
        <v>0</v>
      </c>
      <c r="G49" s="133"/>
      <c r="H49" s="158"/>
      <c r="I49" s="159"/>
      <c r="J49" s="160"/>
    </row>
    <row r="50" spans="1:10">
      <c r="A50" s="115">
        <f>+A49+1</f>
        <v>8</v>
      </c>
      <c r="B50" s="133" t="s">
        <v>338</v>
      </c>
      <c r="C50" s="115" t="s">
        <v>650</v>
      </c>
      <c r="E50" s="157">
        <v>0</v>
      </c>
      <c r="F50" s="157">
        <v>0</v>
      </c>
      <c r="G50" s="161"/>
      <c r="H50" s="115"/>
      <c r="J50" s="158"/>
    </row>
    <row r="51" spans="1:10">
      <c r="A51" s="115">
        <f t="shared" ref="A51:A72" si="1">+A50+1</f>
        <v>9</v>
      </c>
      <c r="B51" s="133" t="s">
        <v>339</v>
      </c>
      <c r="C51" s="115" t="s">
        <v>650</v>
      </c>
      <c r="E51" s="157">
        <v>0</v>
      </c>
      <c r="F51" s="157">
        <v>0</v>
      </c>
      <c r="H51" s="115"/>
      <c r="J51" s="115"/>
    </row>
    <row r="52" spans="1:10">
      <c r="A52" s="115">
        <f t="shared" si="1"/>
        <v>10</v>
      </c>
      <c r="B52" s="133" t="s">
        <v>340</v>
      </c>
      <c r="C52" s="115" t="s">
        <v>650</v>
      </c>
      <c r="E52" s="157">
        <v>0</v>
      </c>
      <c r="F52" s="157">
        <v>0</v>
      </c>
      <c r="H52" s="115"/>
      <c r="J52" s="115"/>
    </row>
    <row r="53" spans="1:10">
      <c r="A53" s="115">
        <f t="shared" si="1"/>
        <v>11</v>
      </c>
      <c r="B53" s="133" t="s">
        <v>341</v>
      </c>
      <c r="C53" s="115" t="s">
        <v>650</v>
      </c>
      <c r="E53" s="157">
        <v>0</v>
      </c>
      <c r="F53" s="157">
        <v>0</v>
      </c>
      <c r="H53" s="158"/>
      <c r="J53" s="115"/>
    </row>
    <row r="54" spans="1:10">
      <c r="A54" s="115">
        <f t="shared" si="1"/>
        <v>12</v>
      </c>
      <c r="B54" s="133" t="s">
        <v>342</v>
      </c>
      <c r="C54" s="115" t="s">
        <v>650</v>
      </c>
      <c r="E54" s="157">
        <v>0</v>
      </c>
      <c r="F54" s="157">
        <v>0</v>
      </c>
      <c r="H54" s="115"/>
      <c r="J54" s="115"/>
    </row>
    <row r="55" spans="1:10">
      <c r="A55" s="115">
        <f t="shared" si="1"/>
        <v>13</v>
      </c>
      <c r="B55" s="133" t="s">
        <v>331</v>
      </c>
      <c r="C55" s="115" t="s">
        <v>651</v>
      </c>
      <c r="E55" s="157">
        <v>0</v>
      </c>
      <c r="F55" s="157">
        <v>0</v>
      </c>
      <c r="H55" s="115"/>
      <c r="J55" s="115"/>
    </row>
    <row r="56" spans="1:10">
      <c r="A56" s="115">
        <f t="shared" si="1"/>
        <v>14</v>
      </c>
      <c r="B56" s="133" t="s">
        <v>332</v>
      </c>
      <c r="C56" s="115" t="s">
        <v>651</v>
      </c>
      <c r="E56" s="157">
        <v>0</v>
      </c>
      <c r="F56" s="157">
        <v>0</v>
      </c>
      <c r="H56" s="115"/>
      <c r="J56" s="115"/>
    </row>
    <row r="57" spans="1:10">
      <c r="A57" s="115">
        <f t="shared" si="1"/>
        <v>15</v>
      </c>
      <c r="B57" s="133" t="s">
        <v>333</v>
      </c>
      <c r="C57" s="115" t="s">
        <v>651</v>
      </c>
      <c r="E57" s="157">
        <v>0</v>
      </c>
      <c r="F57" s="157">
        <v>0</v>
      </c>
      <c r="H57" s="115"/>
      <c r="J57" s="115"/>
    </row>
    <row r="58" spans="1:10">
      <c r="A58" s="115">
        <f t="shared" si="1"/>
        <v>16</v>
      </c>
      <c r="B58" s="133" t="s">
        <v>334</v>
      </c>
      <c r="C58" s="115" t="s">
        <v>651</v>
      </c>
      <c r="E58" s="157">
        <v>0</v>
      </c>
      <c r="F58" s="157">
        <v>0</v>
      </c>
      <c r="H58" s="115"/>
      <c r="J58" s="115"/>
    </row>
    <row r="59" spans="1:10">
      <c r="A59" s="115">
        <f t="shared" si="1"/>
        <v>17</v>
      </c>
      <c r="B59" s="133" t="s">
        <v>335</v>
      </c>
      <c r="C59" s="115" t="s">
        <v>651</v>
      </c>
      <c r="E59" s="157">
        <v>0</v>
      </c>
      <c r="F59" s="157">
        <v>0</v>
      </c>
      <c r="H59" s="115"/>
      <c r="J59" s="115"/>
    </row>
    <row r="60" spans="1:10">
      <c r="A60" s="115">
        <f t="shared" si="1"/>
        <v>18</v>
      </c>
      <c r="B60" s="133" t="s">
        <v>336</v>
      </c>
      <c r="C60" s="115" t="s">
        <v>651</v>
      </c>
      <c r="E60" s="157">
        <v>0</v>
      </c>
      <c r="F60" s="157">
        <v>0</v>
      </c>
      <c r="H60" s="115"/>
      <c r="J60" s="115"/>
    </row>
    <row r="61" spans="1:10">
      <c r="A61" s="115">
        <f t="shared" si="1"/>
        <v>19</v>
      </c>
      <c r="B61" s="133" t="s">
        <v>337</v>
      </c>
      <c r="C61" s="115" t="s">
        <v>651</v>
      </c>
      <c r="E61" s="157">
        <v>0</v>
      </c>
      <c r="F61" s="157">
        <v>0</v>
      </c>
      <c r="H61" s="115"/>
      <c r="J61" s="115"/>
    </row>
    <row r="62" spans="1:10">
      <c r="A62" s="115">
        <f t="shared" si="1"/>
        <v>20</v>
      </c>
      <c r="B62" s="133" t="s">
        <v>338</v>
      </c>
      <c r="C62" s="115" t="s">
        <v>651</v>
      </c>
      <c r="E62" s="157">
        <v>0</v>
      </c>
      <c r="F62" s="157">
        <v>0</v>
      </c>
      <c r="H62" s="115"/>
      <c r="J62" s="115"/>
    </row>
    <row r="63" spans="1:10">
      <c r="A63" s="115">
        <f t="shared" si="1"/>
        <v>21</v>
      </c>
      <c r="B63" s="133" t="s">
        <v>339</v>
      </c>
      <c r="C63" s="115" t="s">
        <v>651</v>
      </c>
      <c r="E63" s="157">
        <v>0</v>
      </c>
      <c r="F63" s="157">
        <v>0</v>
      </c>
      <c r="H63" s="115"/>
      <c r="J63" s="115"/>
    </row>
    <row r="64" spans="1:10">
      <c r="A64" s="115">
        <f t="shared" si="1"/>
        <v>22</v>
      </c>
      <c r="B64" s="133" t="s">
        <v>340</v>
      </c>
      <c r="C64" s="115" t="s">
        <v>651</v>
      </c>
      <c r="E64" s="157">
        <v>0</v>
      </c>
      <c r="F64" s="157">
        <v>0</v>
      </c>
      <c r="H64" s="115"/>
      <c r="J64" s="115"/>
    </row>
    <row r="65" spans="1:10">
      <c r="A65" s="115">
        <f t="shared" si="1"/>
        <v>23</v>
      </c>
      <c r="B65" s="133" t="s">
        <v>341</v>
      </c>
      <c r="C65" s="115" t="s">
        <v>651</v>
      </c>
      <c r="E65" s="157">
        <v>0</v>
      </c>
      <c r="F65" s="157">
        <v>0</v>
      </c>
      <c r="H65" s="115"/>
      <c r="J65" s="115"/>
    </row>
    <row r="66" spans="1:10">
      <c r="A66" s="115">
        <f t="shared" si="1"/>
        <v>24</v>
      </c>
      <c r="B66" s="133" t="s">
        <v>342</v>
      </c>
      <c r="C66" s="115" t="s">
        <v>651</v>
      </c>
      <c r="E66" s="157">
        <v>0</v>
      </c>
      <c r="F66" s="157">
        <v>0</v>
      </c>
      <c r="H66" s="115"/>
      <c r="J66" s="115"/>
    </row>
    <row r="67" spans="1:10">
      <c r="A67" s="115">
        <f t="shared" si="1"/>
        <v>25</v>
      </c>
      <c r="B67" s="133" t="s">
        <v>331</v>
      </c>
      <c r="C67" s="115" t="s">
        <v>652</v>
      </c>
      <c r="E67" s="157">
        <v>0</v>
      </c>
      <c r="F67" s="157">
        <v>0</v>
      </c>
      <c r="H67" s="115"/>
      <c r="J67" s="115"/>
    </row>
    <row r="68" spans="1:10">
      <c r="A68" s="115">
        <f t="shared" si="1"/>
        <v>26</v>
      </c>
      <c r="B68" s="133" t="s">
        <v>332</v>
      </c>
      <c r="C68" s="115" t="s">
        <v>652</v>
      </c>
      <c r="E68" s="157">
        <v>0</v>
      </c>
      <c r="F68" s="157">
        <v>0</v>
      </c>
      <c r="H68" s="115"/>
      <c r="J68" s="115"/>
    </row>
    <row r="69" spans="1:10">
      <c r="A69" s="115">
        <f t="shared" si="1"/>
        <v>27</v>
      </c>
      <c r="B69" s="133" t="s">
        <v>333</v>
      </c>
      <c r="C69" s="115" t="s">
        <v>652</v>
      </c>
      <c r="E69" s="157">
        <v>0</v>
      </c>
      <c r="F69" s="157">
        <v>0</v>
      </c>
      <c r="H69" s="115"/>
      <c r="J69" s="115"/>
    </row>
    <row r="70" spans="1:10">
      <c r="A70" s="115">
        <f t="shared" si="1"/>
        <v>28</v>
      </c>
      <c r="B70" s="133" t="s">
        <v>334</v>
      </c>
      <c r="C70" s="115" t="s">
        <v>652</v>
      </c>
      <c r="E70" s="157">
        <v>0</v>
      </c>
      <c r="F70" s="157">
        <v>0</v>
      </c>
      <c r="H70" s="115"/>
      <c r="J70" s="115"/>
    </row>
    <row r="71" spans="1:10">
      <c r="A71" s="115">
        <f t="shared" si="1"/>
        <v>29</v>
      </c>
      <c r="B71" s="133" t="s">
        <v>335</v>
      </c>
      <c r="C71" s="115" t="s">
        <v>652</v>
      </c>
      <c r="E71" s="157">
        <v>0</v>
      </c>
      <c r="F71" s="157">
        <v>0</v>
      </c>
      <c r="H71" s="115"/>
      <c r="J71" s="115"/>
    </row>
    <row r="72" spans="1:10">
      <c r="A72" s="115">
        <f t="shared" si="1"/>
        <v>30</v>
      </c>
      <c r="B72" s="133" t="s">
        <v>336</v>
      </c>
      <c r="C72" s="115" t="s">
        <v>652</v>
      </c>
      <c r="E72" s="157">
        <v>0</v>
      </c>
      <c r="F72" s="157">
        <v>0</v>
      </c>
      <c r="J72" s="156"/>
    </row>
    <row r="73" spans="1:10">
      <c r="A73" s="115"/>
      <c r="B73" s="133"/>
    </row>
    <row r="74" spans="1:10">
      <c r="A74" s="115">
        <f>+A72+1</f>
        <v>31</v>
      </c>
      <c r="B74" s="133" t="s">
        <v>460</v>
      </c>
      <c r="E74" s="162">
        <f>+SUM(E49:E72)/24</f>
        <v>0</v>
      </c>
      <c r="F74" s="162">
        <f>+SUM(F49:F72)/24</f>
        <v>0</v>
      </c>
    </row>
  </sheetData>
  <customSheetViews>
    <customSheetView guid="{416404B7-8533-4A12-ABD0-58CFDEB49D80}" scale="75" fitToPage="1">
      <selection activeCell="F45" sqref="F45"/>
      <pageMargins left="0" right="0" top="0" bottom="0" header="0" footer="0"/>
      <printOptions horizontalCentered="1"/>
      <pageSetup scale="44" orientation="portrait" r:id="rId1"/>
      <headerFooter alignWithMargins="0">
        <oddFooter>&amp;L&amp;P</oddFooter>
      </headerFooter>
    </customSheetView>
  </customSheetViews>
  <mergeCells count="5">
    <mergeCell ref="B2:J2"/>
    <mergeCell ref="K2:L2"/>
    <mergeCell ref="B4:J4"/>
    <mergeCell ref="K4:L4"/>
    <mergeCell ref="B3:J3"/>
  </mergeCells>
  <phoneticPr fontId="27" type="noConversion"/>
  <printOptions horizontalCentered="1"/>
  <pageMargins left="0.75" right="0.75" top="1" bottom="1" header="0.5" footer="0.5"/>
  <pageSetup scale="41" orientation="portrait" r:id="rId2"/>
  <headerFooter alignWithMargins="0">
    <oddFooter>&amp;L&amp;P</oddFooter>
  </headerFooter>
  <customProperties>
    <customPr name="_pios_id" r:id="rId3"/>
    <customPr name="EpmWorksheetKeyString_GUID" r:id="rId4"/>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M74"/>
  <sheetViews>
    <sheetView showGridLines="0" topLeftCell="A12" zoomScale="85" zoomScaleNormal="85" zoomScaleSheetLayoutView="70" workbookViewId="0">
      <selection activeCell="D308" sqref="D308"/>
    </sheetView>
  </sheetViews>
  <sheetFormatPr defaultColWidth="9.28515625" defaultRowHeight="14.25"/>
  <cols>
    <col min="1" max="1" width="5.140625" style="46" customWidth="1"/>
    <col min="2" max="2" width="14.140625" style="115" customWidth="1"/>
    <col min="3" max="3" width="45.85546875" style="46" customWidth="1"/>
    <col min="4" max="4" width="16.7109375" style="46" customWidth="1"/>
    <col min="5" max="5" width="17.7109375" style="46" customWidth="1"/>
    <col min="6" max="6" width="15.140625" style="46" customWidth="1"/>
    <col min="7" max="7" width="34.42578125" style="46" customWidth="1"/>
    <col min="8" max="8" width="19.42578125" style="46" customWidth="1"/>
    <col min="9" max="9" width="14.28515625" style="46" bestFit="1" customWidth="1"/>
    <col min="10" max="10" width="15.42578125" style="46" customWidth="1"/>
    <col min="11" max="11" width="19.28515625" style="46" customWidth="1"/>
    <col min="12" max="12" width="9.28515625" style="46"/>
    <col min="13" max="13" width="10.28515625" style="46" customWidth="1"/>
    <col min="14" max="16384" width="9.28515625" style="46"/>
  </cols>
  <sheetData>
    <row r="2" spans="2:12" ht="15">
      <c r="B2" s="711" t="str">
        <f>+'Appendix A'!A3</f>
        <v>Dayton Power and Light</v>
      </c>
      <c r="C2" s="711"/>
      <c r="D2" s="711"/>
      <c r="E2" s="711"/>
      <c r="F2" s="711"/>
      <c r="G2" s="711"/>
      <c r="H2" s="711"/>
      <c r="I2" s="711"/>
      <c r="J2" s="711"/>
      <c r="K2" s="711"/>
      <c r="L2" s="711"/>
    </row>
    <row r="3" spans="2:12" ht="15">
      <c r="B3" s="711" t="str">
        <f>+'Appendix A'!A4</f>
        <v xml:space="preserve">ATTACHMENT H-15A </v>
      </c>
      <c r="C3" s="711"/>
      <c r="D3" s="711"/>
      <c r="E3" s="711"/>
      <c r="F3" s="711"/>
      <c r="G3" s="711"/>
      <c r="H3" s="711"/>
      <c r="I3" s="711"/>
      <c r="J3" s="711"/>
      <c r="K3" s="24"/>
      <c r="L3" s="44"/>
    </row>
    <row r="4" spans="2:12" ht="15">
      <c r="B4" s="711" t="s">
        <v>1014</v>
      </c>
      <c r="C4" s="711"/>
      <c r="D4" s="711"/>
      <c r="E4" s="711"/>
      <c r="F4" s="711"/>
      <c r="G4" s="711"/>
      <c r="H4" s="711"/>
      <c r="I4" s="711"/>
      <c r="J4" s="711"/>
      <c r="K4" s="711"/>
      <c r="L4" s="711"/>
    </row>
    <row r="5" spans="2:12" ht="15">
      <c r="B5" s="44"/>
      <c r="C5" s="44"/>
      <c r="D5" s="44"/>
      <c r="E5" s="44"/>
      <c r="F5" s="44"/>
      <c r="G5" s="44"/>
      <c r="H5" s="44"/>
      <c r="I5" s="44"/>
      <c r="J5" s="44"/>
      <c r="K5" s="44"/>
      <c r="L5" s="44"/>
    </row>
    <row r="6" spans="2:12">
      <c r="B6" s="6" t="s">
        <v>366</v>
      </c>
    </row>
    <row r="7" spans="2:12">
      <c r="B7" s="133" t="s">
        <v>653</v>
      </c>
    </row>
    <row r="9" spans="2:12">
      <c r="B9" s="115" t="s">
        <v>308</v>
      </c>
      <c r="C9" s="46" t="s">
        <v>613</v>
      </c>
    </row>
    <row r="10" spans="2:12">
      <c r="C10" s="46" t="s">
        <v>614</v>
      </c>
    </row>
    <row r="11" spans="2:12">
      <c r="C11" s="46" t="s">
        <v>615</v>
      </c>
      <c r="H11" s="140"/>
    </row>
    <row r="12" spans="2:12">
      <c r="H12" s="140"/>
    </row>
    <row r="13" spans="2:12">
      <c r="B13" s="115" t="s">
        <v>616</v>
      </c>
      <c r="C13" s="46" t="s">
        <v>617</v>
      </c>
      <c r="H13" s="140"/>
    </row>
    <row r="14" spans="2:12">
      <c r="C14" s="46" t="s">
        <v>618</v>
      </c>
    </row>
    <row r="16" spans="2:12">
      <c r="B16" s="115" t="s">
        <v>619</v>
      </c>
      <c r="C16" s="46" t="s">
        <v>620</v>
      </c>
    </row>
    <row r="17" spans="2:13">
      <c r="C17" s="46" t="s">
        <v>621</v>
      </c>
    </row>
    <row r="19" spans="2:13">
      <c r="B19" s="115" t="s">
        <v>962</v>
      </c>
      <c r="C19" s="46" t="s">
        <v>622</v>
      </c>
    </row>
    <row r="20" spans="2:13">
      <c r="K20" s="141"/>
    </row>
    <row r="21" spans="2:13">
      <c r="C21" s="46" t="s">
        <v>623</v>
      </c>
      <c r="D21" s="115" t="s">
        <v>624</v>
      </c>
      <c r="E21" s="46" t="s">
        <v>625</v>
      </c>
    </row>
    <row r="22" spans="2:13">
      <c r="E22" s="46" t="s">
        <v>626</v>
      </c>
    </row>
    <row r="23" spans="2:13">
      <c r="E23" s="46" t="s">
        <v>627</v>
      </c>
      <c r="K23" s="85"/>
    </row>
    <row r="26" spans="2:13" ht="16.5">
      <c r="B26" s="1"/>
      <c r="C26" s="46" t="s">
        <v>628</v>
      </c>
    </row>
    <row r="27" spans="2:13" ht="16.5">
      <c r="B27" s="2"/>
      <c r="C27" s="46" t="s">
        <v>629</v>
      </c>
    </row>
    <row r="28" spans="2:13">
      <c r="C28" s="46" t="s">
        <v>630</v>
      </c>
    </row>
    <row r="29" spans="2:13" ht="15">
      <c r="C29" s="46" t="s">
        <v>631</v>
      </c>
      <c r="M29" s="132"/>
    </row>
    <row r="30" spans="2:13">
      <c r="C30" s="46" t="s">
        <v>632</v>
      </c>
    </row>
    <row r="31" spans="2:13">
      <c r="C31" s="46" t="s">
        <v>633</v>
      </c>
    </row>
    <row r="34" spans="1:13">
      <c r="D34" s="115"/>
      <c r="I34" s="115" t="s">
        <v>635</v>
      </c>
      <c r="J34" s="115" t="s">
        <v>636</v>
      </c>
    </row>
    <row r="35" spans="1:13">
      <c r="A35" s="142" t="s">
        <v>654</v>
      </c>
      <c r="D35" s="115"/>
      <c r="I35" s="143" t="s">
        <v>637</v>
      </c>
      <c r="J35" s="143" t="s">
        <v>637</v>
      </c>
      <c r="K35" s="142" t="s">
        <v>638</v>
      </c>
    </row>
    <row r="36" spans="1:13">
      <c r="A36" s="46">
        <v>1</v>
      </c>
      <c r="B36" s="115" t="s">
        <v>194</v>
      </c>
      <c r="C36" s="46" t="s">
        <v>655</v>
      </c>
      <c r="D36" s="115"/>
      <c r="I36" s="38">
        <v>0</v>
      </c>
      <c r="J36" s="144"/>
      <c r="M36" s="145"/>
    </row>
    <row r="37" spans="1:13" ht="15">
      <c r="A37" s="46">
        <f>+A36+1</f>
        <v>2</v>
      </c>
      <c r="B37" s="115" t="s">
        <v>196</v>
      </c>
      <c r="C37" s="46" t="s">
        <v>656</v>
      </c>
      <c r="D37" s="115"/>
      <c r="I37" s="146">
        <v>0</v>
      </c>
      <c r="J37" s="147"/>
      <c r="M37" s="132"/>
    </row>
    <row r="38" spans="1:13">
      <c r="A38" s="46">
        <f t="shared" ref="A38:A40" si="0">+A37+1</f>
        <v>3</v>
      </c>
      <c r="B38" s="115" t="s">
        <v>197</v>
      </c>
      <c r="C38" s="46" t="s">
        <v>641</v>
      </c>
      <c r="D38" s="115"/>
      <c r="I38" s="122">
        <f>+I36-I37</f>
        <v>0</v>
      </c>
      <c r="J38" s="122">
        <f>+I38</f>
        <v>0</v>
      </c>
    </row>
    <row r="39" spans="1:13">
      <c r="A39" s="46">
        <f t="shared" si="0"/>
        <v>4</v>
      </c>
      <c r="B39" s="115" t="s">
        <v>198</v>
      </c>
      <c r="C39" s="46" t="s">
        <v>642</v>
      </c>
      <c r="D39" s="115"/>
      <c r="I39" s="148">
        <f>(1+E74)^24</f>
        <v>1</v>
      </c>
      <c r="J39" s="148">
        <f>(1+F74)^24</f>
        <v>1</v>
      </c>
    </row>
    <row r="40" spans="1:13">
      <c r="A40" s="46">
        <f t="shared" si="0"/>
        <v>5</v>
      </c>
      <c r="B40" s="115" t="s">
        <v>200</v>
      </c>
      <c r="C40" s="46" t="s">
        <v>643</v>
      </c>
      <c r="D40" s="115"/>
      <c r="I40" s="122">
        <f>+I38*I39</f>
        <v>0</v>
      </c>
      <c r="J40" s="122">
        <f>+J38*J39</f>
        <v>0</v>
      </c>
      <c r="K40" s="122">
        <f>+J40-I40</f>
        <v>0</v>
      </c>
    </row>
    <row r="41" spans="1:13">
      <c r="A41" s="46">
        <f>+A40+1</f>
        <v>6</v>
      </c>
      <c r="B41" s="115" t="s">
        <v>202</v>
      </c>
      <c r="C41" s="46" t="s">
        <v>644</v>
      </c>
      <c r="D41" s="115"/>
      <c r="H41" s="122"/>
      <c r="I41" s="122">
        <f>+I40+K40</f>
        <v>0</v>
      </c>
    </row>
    <row r="42" spans="1:13">
      <c r="D42" s="115"/>
    </row>
    <row r="43" spans="1:13">
      <c r="C43" s="46" t="s">
        <v>645</v>
      </c>
      <c r="H43" s="149"/>
    </row>
    <row r="44" spans="1:13">
      <c r="C44" s="46" t="s">
        <v>646</v>
      </c>
      <c r="H44" s="150"/>
      <c r="I44" s="150"/>
      <c r="J44" s="151"/>
    </row>
    <row r="45" spans="1:13">
      <c r="H45" s="152"/>
      <c r="I45" s="115"/>
      <c r="J45" s="115"/>
      <c r="K45" s="115"/>
    </row>
    <row r="46" spans="1:13">
      <c r="B46" s="133" t="s">
        <v>647</v>
      </c>
      <c r="E46" s="115" t="s">
        <v>635</v>
      </c>
      <c r="F46" s="115" t="s">
        <v>648</v>
      </c>
      <c r="H46" s="152"/>
      <c r="I46" s="115"/>
      <c r="J46" s="115"/>
      <c r="K46" s="115"/>
    </row>
    <row r="47" spans="1:13" ht="15">
      <c r="B47" s="46"/>
      <c r="C47" s="115"/>
      <c r="E47" s="115" t="s">
        <v>649</v>
      </c>
      <c r="F47" s="115" t="s">
        <v>649</v>
      </c>
      <c r="H47" s="153"/>
      <c r="I47" s="152"/>
      <c r="J47" s="149"/>
    </row>
    <row r="48" spans="1:13" ht="16.5">
      <c r="B48" s="154" t="s">
        <v>370</v>
      </c>
      <c r="C48" s="143" t="s">
        <v>318</v>
      </c>
      <c r="E48" s="143" t="s">
        <v>637</v>
      </c>
      <c r="F48" s="143" t="s">
        <v>637</v>
      </c>
      <c r="H48" s="155"/>
      <c r="I48" s="151"/>
      <c r="J48" s="156"/>
    </row>
    <row r="49" spans="1:10">
      <c r="A49" s="46">
        <f>+A41+1</f>
        <v>7</v>
      </c>
      <c r="B49" s="133" t="s">
        <v>337</v>
      </c>
      <c r="C49" s="115" t="s">
        <v>650</v>
      </c>
      <c r="E49" s="157">
        <v>0</v>
      </c>
      <c r="F49" s="157">
        <v>0</v>
      </c>
      <c r="G49" s="133"/>
      <c r="H49" s="158"/>
      <c r="I49" s="159"/>
      <c r="J49" s="160"/>
    </row>
    <row r="50" spans="1:10">
      <c r="A50" s="46">
        <f>+A49+1</f>
        <v>8</v>
      </c>
      <c r="B50" s="133" t="s">
        <v>338</v>
      </c>
      <c r="C50" s="115" t="s">
        <v>650</v>
      </c>
      <c r="E50" s="157">
        <v>0</v>
      </c>
      <c r="F50" s="157">
        <v>0</v>
      </c>
      <c r="G50" s="161"/>
      <c r="H50" s="115"/>
      <c r="J50" s="158"/>
    </row>
    <row r="51" spans="1:10">
      <c r="A51" s="46">
        <f t="shared" ref="A51:A72" si="1">+A50+1</f>
        <v>9</v>
      </c>
      <c r="B51" s="133" t="s">
        <v>339</v>
      </c>
      <c r="C51" s="115" t="s">
        <v>650</v>
      </c>
      <c r="E51" s="157">
        <v>0</v>
      </c>
      <c r="F51" s="157">
        <v>0</v>
      </c>
      <c r="H51" s="115"/>
      <c r="J51" s="115"/>
    </row>
    <row r="52" spans="1:10">
      <c r="A52" s="46">
        <f t="shared" si="1"/>
        <v>10</v>
      </c>
      <c r="B52" s="133" t="s">
        <v>340</v>
      </c>
      <c r="C52" s="115" t="s">
        <v>650</v>
      </c>
      <c r="E52" s="157">
        <v>0</v>
      </c>
      <c r="F52" s="157">
        <v>0</v>
      </c>
      <c r="H52" s="115"/>
      <c r="J52" s="115"/>
    </row>
    <row r="53" spans="1:10">
      <c r="A53" s="46">
        <f t="shared" si="1"/>
        <v>11</v>
      </c>
      <c r="B53" s="133" t="s">
        <v>341</v>
      </c>
      <c r="C53" s="115" t="s">
        <v>650</v>
      </c>
      <c r="E53" s="157">
        <v>0</v>
      </c>
      <c r="F53" s="157">
        <v>0</v>
      </c>
      <c r="H53" s="158"/>
      <c r="J53" s="115"/>
    </row>
    <row r="54" spans="1:10">
      <c r="A54" s="46">
        <f t="shared" si="1"/>
        <v>12</v>
      </c>
      <c r="B54" s="133" t="s">
        <v>342</v>
      </c>
      <c r="C54" s="115" t="s">
        <v>650</v>
      </c>
      <c r="E54" s="157">
        <v>0</v>
      </c>
      <c r="F54" s="157">
        <v>0</v>
      </c>
      <c r="H54" s="115"/>
      <c r="J54" s="115"/>
    </row>
    <row r="55" spans="1:10">
      <c r="A55" s="46">
        <f t="shared" si="1"/>
        <v>13</v>
      </c>
      <c r="B55" s="133" t="s">
        <v>331</v>
      </c>
      <c r="C55" s="115" t="s">
        <v>651</v>
      </c>
      <c r="E55" s="157">
        <v>0</v>
      </c>
      <c r="F55" s="157">
        <v>0</v>
      </c>
      <c r="H55" s="115"/>
      <c r="J55" s="115"/>
    </row>
    <row r="56" spans="1:10">
      <c r="A56" s="46">
        <f t="shared" si="1"/>
        <v>14</v>
      </c>
      <c r="B56" s="133" t="s">
        <v>332</v>
      </c>
      <c r="C56" s="115" t="s">
        <v>651</v>
      </c>
      <c r="E56" s="157">
        <v>0</v>
      </c>
      <c r="F56" s="157">
        <v>0</v>
      </c>
      <c r="H56" s="115"/>
      <c r="J56" s="115"/>
    </row>
    <row r="57" spans="1:10">
      <c r="A57" s="46">
        <f t="shared" si="1"/>
        <v>15</v>
      </c>
      <c r="B57" s="133" t="s">
        <v>333</v>
      </c>
      <c r="C57" s="115" t="s">
        <v>651</v>
      </c>
      <c r="E57" s="157">
        <v>0</v>
      </c>
      <c r="F57" s="157">
        <v>0</v>
      </c>
      <c r="H57" s="115"/>
      <c r="J57" s="115"/>
    </row>
    <row r="58" spans="1:10">
      <c r="A58" s="46">
        <f t="shared" si="1"/>
        <v>16</v>
      </c>
      <c r="B58" s="133" t="s">
        <v>334</v>
      </c>
      <c r="C58" s="115" t="s">
        <v>651</v>
      </c>
      <c r="E58" s="157">
        <v>0</v>
      </c>
      <c r="F58" s="157">
        <v>0</v>
      </c>
      <c r="H58" s="115"/>
      <c r="J58" s="115"/>
    </row>
    <row r="59" spans="1:10">
      <c r="A59" s="46">
        <f t="shared" si="1"/>
        <v>17</v>
      </c>
      <c r="B59" s="133" t="s">
        <v>335</v>
      </c>
      <c r="C59" s="115" t="s">
        <v>651</v>
      </c>
      <c r="E59" s="157">
        <v>0</v>
      </c>
      <c r="F59" s="157">
        <v>0</v>
      </c>
      <c r="H59" s="115"/>
      <c r="J59" s="115"/>
    </row>
    <row r="60" spans="1:10">
      <c r="A60" s="46">
        <f t="shared" si="1"/>
        <v>18</v>
      </c>
      <c r="B60" s="133" t="s">
        <v>336</v>
      </c>
      <c r="C60" s="115" t="s">
        <v>651</v>
      </c>
      <c r="E60" s="157">
        <v>0</v>
      </c>
      <c r="F60" s="157">
        <v>0</v>
      </c>
      <c r="H60" s="115"/>
      <c r="J60" s="115"/>
    </row>
    <row r="61" spans="1:10">
      <c r="A61" s="46">
        <f t="shared" si="1"/>
        <v>19</v>
      </c>
      <c r="B61" s="133" t="s">
        <v>337</v>
      </c>
      <c r="C61" s="115" t="s">
        <v>651</v>
      </c>
      <c r="E61" s="157">
        <v>0</v>
      </c>
      <c r="F61" s="157">
        <v>0</v>
      </c>
      <c r="H61" s="115"/>
      <c r="J61" s="115"/>
    </row>
    <row r="62" spans="1:10">
      <c r="A62" s="46">
        <f t="shared" si="1"/>
        <v>20</v>
      </c>
      <c r="B62" s="133" t="s">
        <v>338</v>
      </c>
      <c r="C62" s="115" t="s">
        <v>651</v>
      </c>
      <c r="E62" s="157">
        <v>0</v>
      </c>
      <c r="F62" s="157">
        <v>0</v>
      </c>
      <c r="H62" s="115"/>
      <c r="J62" s="115"/>
    </row>
    <row r="63" spans="1:10">
      <c r="A63" s="46">
        <f t="shared" si="1"/>
        <v>21</v>
      </c>
      <c r="B63" s="133" t="s">
        <v>339</v>
      </c>
      <c r="C63" s="115" t="s">
        <v>651</v>
      </c>
      <c r="E63" s="157">
        <v>0</v>
      </c>
      <c r="F63" s="157">
        <v>0</v>
      </c>
      <c r="H63" s="115"/>
      <c r="J63" s="115"/>
    </row>
    <row r="64" spans="1:10">
      <c r="A64" s="46">
        <f t="shared" si="1"/>
        <v>22</v>
      </c>
      <c r="B64" s="133" t="s">
        <v>340</v>
      </c>
      <c r="C64" s="115" t="s">
        <v>651</v>
      </c>
      <c r="E64" s="157">
        <v>0</v>
      </c>
      <c r="F64" s="157">
        <v>0</v>
      </c>
      <c r="H64" s="115"/>
      <c r="J64" s="115"/>
    </row>
    <row r="65" spans="1:10">
      <c r="A65" s="46">
        <f t="shared" si="1"/>
        <v>23</v>
      </c>
      <c r="B65" s="133" t="s">
        <v>341</v>
      </c>
      <c r="C65" s="115" t="s">
        <v>651</v>
      </c>
      <c r="E65" s="157">
        <v>0</v>
      </c>
      <c r="F65" s="157">
        <v>0</v>
      </c>
      <c r="H65" s="115"/>
      <c r="J65" s="115"/>
    </row>
    <row r="66" spans="1:10">
      <c r="A66" s="46">
        <f t="shared" si="1"/>
        <v>24</v>
      </c>
      <c r="B66" s="133" t="s">
        <v>342</v>
      </c>
      <c r="C66" s="115" t="s">
        <v>651</v>
      </c>
      <c r="E66" s="157">
        <v>0</v>
      </c>
      <c r="F66" s="157">
        <v>0</v>
      </c>
      <c r="H66" s="115"/>
      <c r="J66" s="115"/>
    </row>
    <row r="67" spans="1:10">
      <c r="A67" s="46">
        <f t="shared" si="1"/>
        <v>25</v>
      </c>
      <c r="B67" s="133" t="s">
        <v>331</v>
      </c>
      <c r="C67" s="115" t="s">
        <v>652</v>
      </c>
      <c r="E67" s="157">
        <v>0</v>
      </c>
      <c r="F67" s="157">
        <v>0</v>
      </c>
      <c r="H67" s="115"/>
      <c r="J67" s="115"/>
    </row>
    <row r="68" spans="1:10">
      <c r="A68" s="46">
        <f t="shared" si="1"/>
        <v>26</v>
      </c>
      <c r="B68" s="133" t="s">
        <v>332</v>
      </c>
      <c r="C68" s="115" t="s">
        <v>652</v>
      </c>
      <c r="E68" s="157">
        <v>0</v>
      </c>
      <c r="F68" s="157">
        <v>0</v>
      </c>
      <c r="H68" s="115"/>
      <c r="J68" s="115"/>
    </row>
    <row r="69" spans="1:10">
      <c r="A69" s="46">
        <f t="shared" si="1"/>
        <v>27</v>
      </c>
      <c r="B69" s="133" t="s">
        <v>333</v>
      </c>
      <c r="C69" s="115" t="s">
        <v>652</v>
      </c>
      <c r="E69" s="157">
        <v>0</v>
      </c>
      <c r="F69" s="157">
        <v>0</v>
      </c>
      <c r="H69" s="115"/>
      <c r="J69" s="115"/>
    </row>
    <row r="70" spans="1:10">
      <c r="A70" s="46">
        <f t="shared" si="1"/>
        <v>28</v>
      </c>
      <c r="B70" s="133" t="s">
        <v>334</v>
      </c>
      <c r="C70" s="115" t="s">
        <v>652</v>
      </c>
      <c r="E70" s="157">
        <v>0</v>
      </c>
      <c r="F70" s="157">
        <v>0</v>
      </c>
      <c r="H70" s="115"/>
      <c r="J70" s="115"/>
    </row>
    <row r="71" spans="1:10">
      <c r="A71" s="46">
        <f t="shared" si="1"/>
        <v>29</v>
      </c>
      <c r="B71" s="133" t="s">
        <v>335</v>
      </c>
      <c r="C71" s="115" t="s">
        <v>652</v>
      </c>
      <c r="E71" s="157">
        <v>0</v>
      </c>
      <c r="F71" s="157">
        <v>0</v>
      </c>
      <c r="H71" s="115"/>
      <c r="J71" s="115"/>
    </row>
    <row r="72" spans="1:10">
      <c r="A72" s="46">
        <f t="shared" si="1"/>
        <v>30</v>
      </c>
      <c r="B72" s="133" t="s">
        <v>336</v>
      </c>
      <c r="C72" s="115" t="s">
        <v>652</v>
      </c>
      <c r="E72" s="157">
        <v>0</v>
      </c>
      <c r="F72" s="157">
        <v>0</v>
      </c>
      <c r="J72" s="156"/>
    </row>
    <row r="73" spans="1:10">
      <c r="B73" s="133"/>
    </row>
    <row r="74" spans="1:10">
      <c r="A74" s="46">
        <f>+A72+1</f>
        <v>31</v>
      </c>
      <c r="B74" s="133" t="s">
        <v>460</v>
      </c>
      <c r="E74" s="162">
        <f>+SUM(E49:E72)/24</f>
        <v>0</v>
      </c>
      <c r="F74" s="162">
        <f>+SUM(F49:F72)/24</f>
        <v>0</v>
      </c>
    </row>
  </sheetData>
  <mergeCells count="5">
    <mergeCell ref="B2:J2"/>
    <mergeCell ref="K2:L2"/>
    <mergeCell ref="B3:J3"/>
    <mergeCell ref="B4:J4"/>
    <mergeCell ref="K4:L4"/>
  </mergeCells>
  <printOptions horizontalCentered="1"/>
  <pageMargins left="0.75" right="0.75" top="1" bottom="1" header="0.5" footer="0.5"/>
  <pageSetup scale="41" orientation="portrait" r:id="rId1"/>
  <headerFooter alignWithMargins="0">
    <oddFooter>&amp;L&amp;P</oddFoot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Y20"/>
  <sheetViews>
    <sheetView zoomScaleNormal="100" zoomScaleSheetLayoutView="70" workbookViewId="0">
      <selection activeCell="D308" sqref="D308"/>
    </sheetView>
  </sheetViews>
  <sheetFormatPr defaultColWidth="8.7109375" defaultRowHeight="14.25"/>
  <cols>
    <col min="1" max="1" width="5.28515625" style="6" customWidth="1"/>
    <col min="2" max="2" width="31.140625" style="6" customWidth="1"/>
    <col min="3" max="3" width="32.140625" style="6" customWidth="1"/>
    <col min="4" max="4" width="5.5703125" style="6" customWidth="1"/>
    <col min="5" max="5" width="13.28515625" style="6" customWidth="1"/>
    <col min="6" max="6" width="6" style="6" customWidth="1"/>
    <col min="7" max="7" width="13.28515625" style="6" customWidth="1"/>
    <col min="8" max="8" width="4.7109375" style="6" customWidth="1"/>
    <col min="9" max="9" width="12.5703125" style="6" customWidth="1"/>
    <col min="10" max="10" width="4.85546875" style="6" customWidth="1"/>
    <col min="11" max="11" width="12.140625" style="6" customWidth="1"/>
    <col min="12" max="12" width="4.85546875" style="6" customWidth="1"/>
    <col min="13" max="13" width="10.28515625" style="6" customWidth="1"/>
    <col min="14" max="14" width="4.5703125" style="6" customWidth="1"/>
    <col min="15" max="15" width="9.7109375" style="6" bestFit="1" customWidth="1"/>
    <col min="16" max="16" width="4.28515625" style="6" customWidth="1"/>
    <col min="17" max="17" width="9.7109375" style="6" bestFit="1" customWidth="1"/>
    <col min="18" max="18" width="3.7109375" style="6" customWidth="1"/>
    <col min="19" max="19" width="9.7109375" style="6" bestFit="1" customWidth="1"/>
    <col min="20" max="20" width="4.7109375" style="6" customWidth="1"/>
    <col min="21" max="21" width="9.7109375" style="6" bestFit="1" customWidth="1"/>
    <col min="22" max="22" width="4.7109375" style="6" customWidth="1"/>
    <col min="23" max="23" width="9.7109375" style="6" bestFit="1" customWidth="1"/>
    <col min="24" max="24" width="4.5703125" style="6" customWidth="1"/>
    <col min="25" max="25" width="11.140625" style="6" customWidth="1"/>
    <col min="26" max="26" width="5.42578125" style="6" customWidth="1"/>
    <col min="27" max="16384" width="8.7109375" style="6"/>
  </cols>
  <sheetData>
    <row r="1" spans="1:25" ht="15">
      <c r="A1" s="44"/>
      <c r="B1" s="44"/>
      <c r="C1" s="44"/>
      <c r="D1" s="44"/>
      <c r="E1" s="44"/>
      <c r="F1" s="44"/>
      <c r="G1" s="44"/>
      <c r="H1" s="46"/>
      <c r="I1" s="46"/>
      <c r="J1" s="44" t="str">
        <f>+'Appendix A'!A3</f>
        <v>Dayton Power and Light</v>
      </c>
      <c r="K1" s="44"/>
      <c r="L1" s="44"/>
      <c r="M1" s="44"/>
      <c r="N1" s="44"/>
      <c r="O1" s="33"/>
      <c r="P1" s="33"/>
    </row>
    <row r="2" spans="1:25" ht="15">
      <c r="A2" s="115"/>
      <c r="B2" s="44"/>
      <c r="C2" s="44"/>
      <c r="D2" s="44"/>
      <c r="E2" s="44"/>
      <c r="F2" s="44"/>
      <c r="G2" s="44"/>
      <c r="H2" s="46"/>
      <c r="I2" s="46"/>
      <c r="J2" s="44" t="str">
        <f>+'Appendix A'!A4</f>
        <v xml:space="preserve">ATTACHMENT H-15A </v>
      </c>
      <c r="K2" s="44"/>
      <c r="L2" s="44"/>
      <c r="M2" s="44"/>
      <c r="N2" s="44"/>
      <c r="O2" s="33"/>
      <c r="P2" s="33"/>
    </row>
    <row r="3" spans="1:25" ht="15">
      <c r="A3" s="115"/>
      <c r="B3" s="44"/>
      <c r="C3" s="44"/>
      <c r="D3" s="44"/>
      <c r="E3" s="44"/>
      <c r="F3" s="44"/>
      <c r="G3" s="44"/>
      <c r="H3" s="46"/>
      <c r="I3" s="46"/>
      <c r="J3" s="44" t="s">
        <v>1015</v>
      </c>
      <c r="K3" s="44"/>
      <c r="L3" s="44"/>
      <c r="M3" s="44"/>
      <c r="N3" s="44"/>
      <c r="O3" s="33"/>
      <c r="P3" s="33"/>
      <c r="Y3" s="24"/>
    </row>
    <row r="4" spans="1:25" ht="15">
      <c r="A4" s="115"/>
      <c r="B4" s="6" t="s">
        <v>366</v>
      </c>
      <c r="C4" s="132"/>
      <c r="D4" s="44"/>
      <c r="E4" s="44"/>
      <c r="F4" s="44"/>
      <c r="G4" s="44"/>
      <c r="H4" s="44"/>
      <c r="I4" s="44"/>
      <c r="J4" s="44"/>
      <c r="K4" s="44"/>
      <c r="L4" s="44"/>
      <c r="M4" s="44"/>
      <c r="N4" s="44"/>
      <c r="O4" s="44"/>
      <c r="P4" s="44"/>
    </row>
    <row r="5" spans="1:25" ht="15">
      <c r="A5" s="115"/>
      <c r="B5" s="133"/>
      <c r="C5" s="132"/>
      <c r="D5" s="115"/>
      <c r="E5" s="115"/>
      <c r="F5" s="46"/>
      <c r="G5" s="46"/>
      <c r="H5" s="46"/>
      <c r="I5" s="46"/>
      <c r="J5" s="33"/>
      <c r="K5" s="33"/>
      <c r="L5" s="33"/>
      <c r="M5" s="33"/>
      <c r="N5" s="33"/>
      <c r="O5" s="33"/>
      <c r="P5" s="33"/>
    </row>
    <row r="6" spans="1:25" ht="15">
      <c r="A6" s="115"/>
      <c r="B6" s="116" t="s">
        <v>657</v>
      </c>
      <c r="C6" s="46"/>
      <c r="D6" s="115"/>
      <c r="E6" s="46"/>
      <c r="G6" s="46"/>
      <c r="H6" s="46"/>
      <c r="I6" s="46"/>
      <c r="J6" s="117"/>
      <c r="K6" s="118"/>
      <c r="L6" s="46"/>
      <c r="M6" s="46"/>
      <c r="N6" s="33"/>
      <c r="O6" s="33"/>
      <c r="P6" s="33"/>
    </row>
    <row r="7" spans="1:25">
      <c r="G7" s="17" t="s">
        <v>658</v>
      </c>
      <c r="I7" s="17" t="s">
        <v>659</v>
      </c>
      <c r="K7" s="17" t="s">
        <v>660</v>
      </c>
      <c r="M7" s="17" t="s">
        <v>661</v>
      </c>
      <c r="O7" s="17" t="s">
        <v>662</v>
      </c>
      <c r="Q7" s="17" t="s">
        <v>663</v>
      </c>
      <c r="S7" s="17" t="s">
        <v>664</v>
      </c>
      <c r="U7" s="17" t="s">
        <v>665</v>
      </c>
      <c r="W7" s="17" t="s">
        <v>666</v>
      </c>
      <c r="Y7" s="17" t="s">
        <v>667</v>
      </c>
    </row>
    <row r="8" spans="1:25">
      <c r="A8" s="29" t="s">
        <v>654</v>
      </c>
      <c r="E8" s="18" t="s">
        <v>64</v>
      </c>
      <c r="G8" s="120" t="s">
        <v>668</v>
      </c>
      <c r="I8" s="120" t="s">
        <v>668</v>
      </c>
      <c r="K8" s="120" t="s">
        <v>668</v>
      </c>
      <c r="M8" s="120" t="s">
        <v>668</v>
      </c>
      <c r="O8" s="120" t="s">
        <v>668</v>
      </c>
      <c r="Q8" s="120" t="s">
        <v>668</v>
      </c>
      <c r="S8" s="120" t="s">
        <v>668</v>
      </c>
      <c r="U8" s="120" t="s">
        <v>668</v>
      </c>
      <c r="W8" s="120" t="s">
        <v>668</v>
      </c>
      <c r="Y8" s="120" t="s">
        <v>668</v>
      </c>
    </row>
    <row r="10" spans="1:25">
      <c r="A10" s="6">
        <v>1</v>
      </c>
      <c r="B10" s="6" t="s">
        <v>22</v>
      </c>
      <c r="C10" s="122" t="str">
        <f>"(Attachment 4, Line "&amp;'4 - Cost Support'!A243&amp;" etc.)"</f>
        <v>(Attachment 4, Line 88 etc.)</v>
      </c>
      <c r="E10" s="123"/>
      <c r="F10" s="123"/>
      <c r="G10" s="19">
        <f>+'4 - Cost Support'!T243</f>
        <v>0</v>
      </c>
      <c r="H10" s="19"/>
      <c r="I10" s="19">
        <f>+'4 - Cost Support'!T248</f>
        <v>0</v>
      </c>
      <c r="J10" s="19"/>
      <c r="K10" s="19">
        <f>+'4 - Cost Support'!T253</f>
        <v>0</v>
      </c>
      <c r="L10" s="19"/>
      <c r="M10" s="19">
        <f>+'4 - Cost Support'!T258</f>
        <v>0</v>
      </c>
      <c r="N10" s="19"/>
      <c r="O10" s="19">
        <f>+'4 - Cost Support'!T263</f>
        <v>0</v>
      </c>
      <c r="P10" s="19"/>
      <c r="Q10" s="19">
        <f>+'4 - Cost Support'!T268</f>
        <v>0</v>
      </c>
      <c r="R10" s="19"/>
      <c r="S10" s="19">
        <f>+'4 - Cost Support'!T273</f>
        <v>0</v>
      </c>
      <c r="T10" s="19"/>
      <c r="U10" s="19">
        <f>+'4 - Cost Support'!T278</f>
        <v>0</v>
      </c>
      <c r="V10" s="19"/>
      <c r="W10" s="19">
        <f>+'4 - Cost Support'!T283</f>
        <v>0</v>
      </c>
      <c r="X10" s="19"/>
      <c r="Y10" s="19">
        <f>+'4 - Cost Support'!T288</f>
        <v>0</v>
      </c>
    </row>
    <row r="11" spans="1:25">
      <c r="A11" s="6">
        <f>+A10+1</f>
        <v>2</v>
      </c>
      <c r="B11" s="6" t="s">
        <v>31</v>
      </c>
      <c r="C11" s="122" t="str">
        <f>"(Attachment 4, Line "&amp;'4 - Cost Support'!A244&amp;" etc.)"</f>
        <v>(Attachment 4, Line 89 etc.)</v>
      </c>
      <c r="E11" s="123"/>
      <c r="F11" s="123"/>
      <c r="G11" s="127">
        <f>+'4 - Cost Support'!T244</f>
        <v>0</v>
      </c>
      <c r="H11" s="127"/>
      <c r="I11" s="127">
        <f>+'4 - Cost Support'!T249</f>
        <v>0</v>
      </c>
      <c r="J11" s="127"/>
      <c r="K11" s="127">
        <f>+'4 - Cost Support'!T254</f>
        <v>0</v>
      </c>
      <c r="L11" s="127"/>
      <c r="M11" s="127">
        <f>+'4 - Cost Support'!T259</f>
        <v>0</v>
      </c>
      <c r="N11" s="127"/>
      <c r="O11" s="127">
        <f>+'4 - Cost Support'!T264</f>
        <v>0</v>
      </c>
      <c r="P11" s="127"/>
      <c r="Q11" s="127">
        <f>+'4 - Cost Support'!T269</f>
        <v>0</v>
      </c>
      <c r="R11" s="127"/>
      <c r="S11" s="127">
        <f>+'4 - Cost Support'!T274</f>
        <v>0</v>
      </c>
      <c r="T11" s="127"/>
      <c r="U11" s="127">
        <f>+'4 - Cost Support'!T279</f>
        <v>0</v>
      </c>
      <c r="V11" s="127"/>
      <c r="W11" s="127">
        <f>+'4 - Cost Support'!T284</f>
        <v>0</v>
      </c>
      <c r="X11" s="127"/>
      <c r="Y11" s="127">
        <f>+'4 - Cost Support'!T289</f>
        <v>0</v>
      </c>
    </row>
    <row r="12" spans="1:25">
      <c r="A12" s="6">
        <f>+A11+1</f>
        <v>3</v>
      </c>
      <c r="B12" s="6" t="s">
        <v>16</v>
      </c>
      <c r="C12" s="6" t="str">
        <f>"(Line "&amp;A10&amp;" + Line "&amp;A11&amp;")"</f>
        <v>(Line 1 + Line 2)</v>
      </c>
      <c r="E12" s="123"/>
      <c r="F12" s="123"/>
      <c r="G12" s="19">
        <f>+G10-G11</f>
        <v>0</v>
      </c>
      <c r="H12" s="19"/>
      <c r="I12" s="19">
        <f>+I10-I11</f>
        <v>0</v>
      </c>
      <c r="J12" s="19"/>
      <c r="K12" s="19">
        <f>+K10-K11</f>
        <v>0</v>
      </c>
      <c r="L12" s="19"/>
      <c r="M12" s="19">
        <f>+M10-M11</f>
        <v>0</v>
      </c>
      <c r="N12" s="19"/>
      <c r="O12" s="19">
        <f>+O10-O11</f>
        <v>0</v>
      </c>
      <c r="P12" s="19"/>
      <c r="Q12" s="19">
        <f>+Q10-Q11</f>
        <v>0</v>
      </c>
      <c r="R12" s="19"/>
      <c r="S12" s="19">
        <f>+S10-S11</f>
        <v>0</v>
      </c>
      <c r="T12" s="19"/>
      <c r="U12" s="19">
        <f>+U10-U11</f>
        <v>0</v>
      </c>
      <c r="V12" s="19"/>
      <c r="W12" s="19">
        <f>+W10-W11</f>
        <v>0</v>
      </c>
      <c r="X12" s="19"/>
      <c r="Y12" s="19">
        <f>+Y10-Y11</f>
        <v>0</v>
      </c>
    </row>
    <row r="13" spans="1:25">
      <c r="A13" s="6">
        <f t="shared" ref="A13:A18" si="0">+A12+1</f>
        <v>4</v>
      </c>
      <c r="B13" s="6" t="s">
        <v>41</v>
      </c>
      <c r="C13" s="122" t="str">
        <f>"(Attachment 4, Line "&amp;'4 - Cost Support'!A245&amp;" etc.)"</f>
        <v>(Attachment 4, Line 90 etc.)</v>
      </c>
      <c r="E13" s="123"/>
      <c r="F13" s="123"/>
      <c r="G13" s="127">
        <f>+'4 - Cost Support'!T245</f>
        <v>0</v>
      </c>
      <c r="H13" s="127"/>
      <c r="I13" s="127">
        <f>+'4 - Cost Support'!T250</f>
        <v>0</v>
      </c>
      <c r="J13" s="127"/>
      <c r="K13" s="127">
        <f>+'4 - Cost Support'!T255</f>
        <v>0</v>
      </c>
      <c r="L13" s="127"/>
      <c r="M13" s="127">
        <f>+'4 - Cost Support'!T260</f>
        <v>0</v>
      </c>
      <c r="N13" s="127"/>
      <c r="O13" s="127">
        <f>+'4 - Cost Support'!T265</f>
        <v>0</v>
      </c>
      <c r="P13" s="127"/>
      <c r="Q13" s="127">
        <f>+'4 - Cost Support'!T270</f>
        <v>0</v>
      </c>
      <c r="R13" s="127"/>
      <c r="S13" s="127">
        <f>+'4 - Cost Support'!T275</f>
        <v>0</v>
      </c>
      <c r="T13" s="127"/>
      <c r="U13" s="127">
        <f>+'4 - Cost Support'!T280</f>
        <v>0</v>
      </c>
      <c r="V13" s="127"/>
      <c r="W13" s="127">
        <f>+'4 - Cost Support'!T285</f>
        <v>0</v>
      </c>
      <c r="X13" s="127"/>
      <c r="Y13" s="127">
        <f>+'4 - Cost Support'!T290</f>
        <v>0</v>
      </c>
    </row>
    <row r="14" spans="1:25">
      <c r="A14" s="6">
        <f t="shared" si="0"/>
        <v>5</v>
      </c>
      <c r="B14" s="6" t="s">
        <v>71</v>
      </c>
      <c r="C14" s="6" t="str">
        <f>"(Line "&amp;A12&amp;" + Line "&amp;A13&amp;")"</f>
        <v>(Line 3 + Line 4)</v>
      </c>
      <c r="E14" s="123"/>
      <c r="F14" s="123"/>
      <c r="G14" s="19">
        <f>+G12-G13</f>
        <v>0</v>
      </c>
      <c r="H14" s="19"/>
      <c r="I14" s="19">
        <f>+I12-I13</f>
        <v>0</v>
      </c>
      <c r="J14" s="19"/>
      <c r="K14" s="19">
        <f>+K12-K13</f>
        <v>0</v>
      </c>
      <c r="L14" s="19"/>
      <c r="M14" s="19">
        <f>+M12-M13</f>
        <v>0</v>
      </c>
      <c r="N14" s="19"/>
      <c r="O14" s="19">
        <f>+O12-O13</f>
        <v>0</v>
      </c>
      <c r="P14" s="19"/>
      <c r="Q14" s="19">
        <f>+Q12-Q13</f>
        <v>0</v>
      </c>
      <c r="R14" s="19"/>
      <c r="S14" s="19">
        <f>+S12-S13</f>
        <v>0</v>
      </c>
      <c r="T14" s="19"/>
      <c r="U14" s="19">
        <f>+U12-U13</f>
        <v>0</v>
      </c>
      <c r="V14" s="19"/>
      <c r="W14" s="19">
        <f>+W12-W13</f>
        <v>0</v>
      </c>
      <c r="X14" s="19"/>
      <c r="Y14" s="19">
        <f>+Y12-Y13</f>
        <v>0</v>
      </c>
    </row>
    <row r="15" spans="1:25">
      <c r="A15" s="6">
        <f t="shared" si="0"/>
        <v>6</v>
      </c>
      <c r="B15" s="6" t="s">
        <v>657</v>
      </c>
      <c r="C15" s="6" t="s">
        <v>669</v>
      </c>
      <c r="G15" s="134">
        <v>0</v>
      </c>
      <c r="H15" s="101"/>
      <c r="I15" s="134">
        <v>0</v>
      </c>
      <c r="J15" s="101"/>
      <c r="K15" s="134">
        <v>0</v>
      </c>
      <c r="L15" s="101"/>
      <c r="M15" s="134">
        <v>0</v>
      </c>
      <c r="N15" s="101"/>
      <c r="O15" s="134">
        <v>0</v>
      </c>
      <c r="P15" s="101"/>
      <c r="Q15" s="134">
        <v>0</v>
      </c>
      <c r="R15" s="101"/>
      <c r="S15" s="134">
        <v>0</v>
      </c>
      <c r="T15" s="101"/>
      <c r="U15" s="134">
        <v>0</v>
      </c>
      <c r="V15" s="101"/>
      <c r="W15" s="134">
        <v>0</v>
      </c>
      <c r="X15" s="101"/>
      <c r="Y15" s="134">
        <v>0</v>
      </c>
    </row>
    <row r="16" spans="1:25">
      <c r="A16" s="6">
        <f t="shared" si="0"/>
        <v>7</v>
      </c>
      <c r="B16" s="6" t="s">
        <v>670</v>
      </c>
      <c r="C16" s="122" t="str">
        <f>"(Appendix A, Line "&amp;'Appendix A'!A196&amp;")"</f>
        <v>(Appendix A, Line 111)</v>
      </c>
      <c r="G16" s="135">
        <f>+'Appendix A'!$H$196</f>
        <v>0.50204947902419406</v>
      </c>
      <c r="H16" s="101"/>
      <c r="I16" s="135">
        <f>+'Appendix A'!$H$196</f>
        <v>0.50204947902419406</v>
      </c>
      <c r="J16" s="101"/>
      <c r="K16" s="135">
        <f>+'Appendix A'!$H$196</f>
        <v>0.50204947902419406</v>
      </c>
      <c r="L16" s="101"/>
      <c r="M16" s="135">
        <f>+'Appendix A'!$H$196</f>
        <v>0.50204947902419406</v>
      </c>
      <c r="N16" s="101"/>
      <c r="O16" s="135">
        <f>+'Appendix A'!$H$196</f>
        <v>0.50204947902419406</v>
      </c>
      <c r="P16" s="101"/>
      <c r="Q16" s="135">
        <f>+'Appendix A'!$H$196</f>
        <v>0.50204947902419406</v>
      </c>
      <c r="R16" s="101"/>
      <c r="S16" s="135">
        <f>+'Appendix A'!$H$196</f>
        <v>0.50204947902419406</v>
      </c>
      <c r="T16" s="101"/>
      <c r="U16" s="135">
        <f>+'Appendix A'!$H$196</f>
        <v>0.50204947902419406</v>
      </c>
      <c r="V16" s="101"/>
      <c r="W16" s="135">
        <f>+'Appendix A'!$H$196</f>
        <v>0.50204947902419406</v>
      </c>
      <c r="X16" s="101"/>
      <c r="Y16" s="135">
        <f>+'Appendix A'!$H$196</f>
        <v>0.50204947902419406</v>
      </c>
    </row>
    <row r="17" spans="1:25">
      <c r="A17" s="6">
        <f t="shared" si="0"/>
        <v>8</v>
      </c>
      <c r="B17" s="6" t="s">
        <v>142</v>
      </c>
      <c r="C17" s="122" t="str">
        <f>"(Appendix A, Line "&amp;'Appendix A'!A216&amp;")"</f>
        <v>(Appendix A, Line 126)</v>
      </c>
      <c r="E17" s="124"/>
      <c r="F17" s="124"/>
      <c r="G17" s="136">
        <f>+'Appendix A'!$H$216</f>
        <v>1.2875829364358931</v>
      </c>
      <c r="H17" s="137"/>
      <c r="I17" s="136">
        <f>+'Appendix A'!$H$216</f>
        <v>1.2875829364358931</v>
      </c>
      <c r="J17" s="137"/>
      <c r="K17" s="136">
        <f>+'Appendix A'!$H$216</f>
        <v>1.2875829364358931</v>
      </c>
      <c r="L17" s="137"/>
      <c r="M17" s="136">
        <f>+'Appendix A'!$H$216</f>
        <v>1.2875829364358931</v>
      </c>
      <c r="N17" s="137"/>
      <c r="O17" s="136">
        <f>+'Appendix A'!$H$216</f>
        <v>1.2875829364358931</v>
      </c>
      <c r="P17" s="137"/>
      <c r="Q17" s="136">
        <f>+'Appendix A'!$H$216</f>
        <v>1.2875829364358931</v>
      </c>
      <c r="R17" s="137"/>
      <c r="S17" s="136">
        <f>+'Appendix A'!$H$216</f>
        <v>1.2875829364358931</v>
      </c>
      <c r="T17" s="137"/>
      <c r="U17" s="136">
        <f>+'Appendix A'!$H$216</f>
        <v>1.2875829364358931</v>
      </c>
      <c r="V17" s="137"/>
      <c r="W17" s="136">
        <f>+'Appendix A'!$H$216</f>
        <v>1.2875829364358931</v>
      </c>
      <c r="X17" s="137"/>
      <c r="Y17" s="136">
        <f>+'Appendix A'!$H$216</f>
        <v>1.2875829364358931</v>
      </c>
    </row>
    <row r="18" spans="1:25">
      <c r="A18" s="6">
        <f t="shared" si="0"/>
        <v>9</v>
      </c>
      <c r="B18" s="6" t="s">
        <v>671</v>
      </c>
      <c r="C18" s="61" t="str">
        <f>"(Line "&amp;A14&amp;" * Line "&amp;A15&amp;" * Line "&amp;A16&amp;" * Line "&amp;A17&amp;" )"</f>
        <v>(Line 5 * Line 6 * Line 7 * Line 8 )</v>
      </c>
      <c r="E18" s="19">
        <f>+SUM(G18:Y18)</f>
        <v>0</v>
      </c>
      <c r="F18" s="19"/>
      <c r="G18" s="138">
        <f>+G14*G15*G16*G17</f>
        <v>0</v>
      </c>
      <c r="H18" s="139"/>
      <c r="I18" s="138">
        <f>+I14*I15*I16*I17</f>
        <v>0</v>
      </c>
      <c r="J18" s="139"/>
      <c r="K18" s="138">
        <f>+K14*K15*K16*K17</f>
        <v>0</v>
      </c>
      <c r="L18" s="139"/>
      <c r="M18" s="138">
        <f>+M14*M15*M16*M17</f>
        <v>0</v>
      </c>
      <c r="N18" s="139"/>
      <c r="O18" s="138">
        <f>+O14*O15*O16*O17</f>
        <v>0</v>
      </c>
      <c r="P18" s="139"/>
      <c r="Q18" s="138">
        <f>+Q14*Q15*Q16*Q17</f>
        <v>0</v>
      </c>
      <c r="R18" s="139"/>
      <c r="S18" s="138">
        <f>+S14*S15*S16*S17</f>
        <v>0</v>
      </c>
      <c r="T18" s="139"/>
      <c r="U18" s="138">
        <f>+U14*U15*U16*U17</f>
        <v>0</v>
      </c>
      <c r="V18" s="139"/>
      <c r="W18" s="138">
        <f>+W14*W15*W16*W17</f>
        <v>0</v>
      </c>
      <c r="X18" s="139"/>
      <c r="Y18" s="138">
        <f>+Y14*Y15*Y16*Y17</f>
        <v>0</v>
      </c>
    </row>
    <row r="19" spans="1:25">
      <c r="G19" s="135"/>
      <c r="H19" s="101"/>
      <c r="I19" s="135"/>
      <c r="J19" s="101"/>
      <c r="K19" s="135"/>
      <c r="L19" s="101"/>
      <c r="M19" s="135"/>
      <c r="N19" s="101"/>
      <c r="O19" s="135"/>
      <c r="P19" s="101"/>
      <c r="Q19" s="135"/>
      <c r="R19" s="101"/>
      <c r="S19" s="135"/>
      <c r="T19" s="101"/>
      <c r="U19" s="135"/>
      <c r="V19" s="101"/>
      <c r="W19" s="135"/>
      <c r="X19" s="101"/>
      <c r="Y19" s="135"/>
    </row>
    <row r="20" spans="1:25" ht="28.5">
      <c r="B20" s="61" t="s">
        <v>672</v>
      </c>
    </row>
  </sheetData>
  <pageMargins left="0.7" right="0.7" top="0.75" bottom="0.75" header="0.3" footer="0.3"/>
  <pageSetup scale="50" orientation="landscape"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32"/>
  <sheetViews>
    <sheetView zoomScale="85" zoomScaleNormal="85" zoomScaleSheetLayoutView="85" workbookViewId="0">
      <selection activeCell="G28" sqref="G28"/>
    </sheetView>
  </sheetViews>
  <sheetFormatPr defaultColWidth="8.7109375" defaultRowHeight="14.25"/>
  <cols>
    <col min="1" max="1" width="5.5703125" style="6" customWidth="1"/>
    <col min="2" max="2" width="35.5703125" style="6" customWidth="1"/>
    <col min="3" max="3" width="17.140625" style="6" customWidth="1"/>
    <col min="4" max="4" width="11.7109375" style="6" customWidth="1"/>
    <col min="5" max="5" width="13.28515625" style="6" customWidth="1"/>
    <col min="6" max="6" width="6" style="6" customWidth="1"/>
    <col min="7" max="7" width="17" style="6" customWidth="1"/>
    <col min="8" max="8" width="4.7109375" style="6" customWidth="1"/>
    <col min="9" max="9" width="12.5703125" style="6" customWidth="1"/>
    <col min="10" max="10" width="4.85546875" style="6" customWidth="1"/>
    <col min="11" max="11" width="12.140625" style="6" customWidth="1"/>
    <col min="12" max="12" width="4.85546875" style="6" customWidth="1"/>
    <col min="13" max="13" width="10.28515625" style="6" customWidth="1"/>
    <col min="14" max="14" width="4.5703125" style="6" customWidth="1"/>
    <col min="15" max="15" width="9.42578125" style="6" bestFit="1" customWidth="1"/>
    <col min="16" max="16" width="4.28515625" style="6" customWidth="1"/>
    <col min="17" max="17" width="9.42578125" style="6" bestFit="1" customWidth="1"/>
    <col min="18" max="18" width="3.7109375" style="6" customWidth="1"/>
    <col min="19" max="19" width="9.42578125" style="6" bestFit="1" customWidth="1"/>
    <col min="20" max="20" width="4.7109375" style="6" customWidth="1"/>
    <col min="21" max="21" width="9.42578125" style="6" bestFit="1" customWidth="1"/>
    <col min="22" max="22" width="4.7109375" style="6" customWidth="1"/>
    <col min="23" max="23" width="9.42578125" style="6" bestFit="1" customWidth="1"/>
    <col min="24" max="24" width="4.5703125" style="6" customWidth="1"/>
    <col min="25" max="25" width="10.42578125" style="6" bestFit="1" customWidth="1"/>
    <col min="26" max="16384" width="8.7109375" style="6"/>
  </cols>
  <sheetData>
    <row r="1" spans="1:25" ht="15">
      <c r="K1" s="44" t="str">
        <f>+'7A - Project ROE Adder'!J1</f>
        <v>Dayton Power and Light</v>
      </c>
    </row>
    <row r="2" spans="1:25" ht="15">
      <c r="K2" s="44" t="str">
        <f>+'7A - Project ROE Adder'!J2</f>
        <v xml:space="preserve">ATTACHMENT H-15A </v>
      </c>
    </row>
    <row r="3" spans="1:25" ht="15">
      <c r="K3" s="44" t="s">
        <v>1016</v>
      </c>
      <c r="Y3" s="24"/>
    </row>
    <row r="5" spans="1:25">
      <c r="B5" s="6" t="s">
        <v>366</v>
      </c>
    </row>
    <row r="6" spans="1:25" ht="15">
      <c r="A6" s="115"/>
      <c r="B6" s="116" t="s">
        <v>673</v>
      </c>
      <c r="C6" s="46"/>
      <c r="D6" s="115"/>
      <c r="E6" s="46"/>
      <c r="G6" s="46"/>
      <c r="H6" s="46"/>
      <c r="I6" s="46"/>
      <c r="J6" s="117"/>
      <c r="K6" s="118"/>
      <c r="L6" s="46"/>
      <c r="M6" s="46"/>
      <c r="N6" s="33"/>
      <c r="O6" s="33"/>
      <c r="P6" s="33"/>
    </row>
    <row r="7" spans="1:25">
      <c r="G7" s="17" t="s">
        <v>658</v>
      </c>
      <c r="I7" s="17" t="s">
        <v>659</v>
      </c>
      <c r="K7" s="17" t="s">
        <v>660</v>
      </c>
      <c r="M7" s="17" t="s">
        <v>661</v>
      </c>
      <c r="O7" s="17" t="s">
        <v>662</v>
      </c>
      <c r="Q7" s="17" t="s">
        <v>663</v>
      </c>
      <c r="S7" s="17" t="s">
        <v>664</v>
      </c>
      <c r="U7" s="17" t="s">
        <v>665</v>
      </c>
      <c r="W7" s="17" t="s">
        <v>666</v>
      </c>
      <c r="Y7" s="17" t="s">
        <v>667</v>
      </c>
    </row>
    <row r="8" spans="1:25" ht="57">
      <c r="A8" s="29" t="s">
        <v>654</v>
      </c>
      <c r="E8" s="18" t="s">
        <v>64</v>
      </c>
      <c r="G8" s="119" t="s">
        <v>674</v>
      </c>
      <c r="I8" s="120" t="s">
        <v>668</v>
      </c>
      <c r="K8" s="120" t="s">
        <v>668</v>
      </c>
      <c r="M8" s="120" t="s">
        <v>668</v>
      </c>
      <c r="O8" s="120" t="s">
        <v>668</v>
      </c>
      <c r="Q8" s="120" t="s">
        <v>668</v>
      </c>
      <c r="S8" s="120" t="s">
        <v>668</v>
      </c>
      <c r="U8" s="120" t="s">
        <v>668</v>
      </c>
      <c r="W8" s="120" t="s">
        <v>668</v>
      </c>
      <c r="Y8" s="120" t="s">
        <v>668</v>
      </c>
    </row>
    <row r="9" spans="1:25">
      <c r="B9" s="6" t="s">
        <v>675</v>
      </c>
      <c r="G9" s="121" t="s">
        <v>676</v>
      </c>
      <c r="I9" s="32"/>
      <c r="K9" s="32"/>
      <c r="M9" s="32"/>
      <c r="O9" s="32"/>
      <c r="Q9" s="32"/>
      <c r="S9" s="32"/>
      <c r="U9" s="32"/>
      <c r="W9" s="32"/>
      <c r="Y9" s="32"/>
    </row>
    <row r="10" spans="1:25">
      <c r="A10" s="6">
        <v>1</v>
      </c>
      <c r="B10" s="6" t="s">
        <v>22</v>
      </c>
      <c r="C10" s="122" t="str">
        <f>"(Attachment 4, Line "&amp;'4 - Cost Support'!A296&amp;" etc.)"</f>
        <v>(Attachment 4, Line 118 etc.)</v>
      </c>
      <c r="E10" s="123"/>
      <c r="F10" s="123"/>
      <c r="G10" s="19">
        <f>+'4 - Cost Support'!T296</f>
        <v>6297751.461538462</v>
      </c>
      <c r="H10" s="19"/>
      <c r="I10" s="19">
        <f>+'4 - Cost Support'!T301</f>
        <v>0</v>
      </c>
      <c r="J10" s="19"/>
      <c r="K10" s="19">
        <f>+'4 - Cost Support'!T306</f>
        <v>0</v>
      </c>
      <c r="L10" s="19"/>
      <c r="M10" s="19">
        <f>+'4 - Cost Support'!T311</f>
        <v>0</v>
      </c>
      <c r="N10" s="19"/>
      <c r="O10" s="19">
        <f>+'4 - Cost Support'!T316</f>
        <v>0</v>
      </c>
      <c r="P10" s="19"/>
      <c r="Q10" s="19">
        <f>+'4 - Cost Support'!T321</f>
        <v>0</v>
      </c>
      <c r="R10" s="19"/>
      <c r="S10" s="19">
        <f>+'4 - Cost Support'!T326</f>
        <v>0</v>
      </c>
      <c r="T10" s="19"/>
      <c r="U10" s="19">
        <f>+'4 - Cost Support'!T331</f>
        <v>0</v>
      </c>
      <c r="V10" s="19"/>
      <c r="W10" s="19">
        <f>+'4 - Cost Support'!T336</f>
        <v>0</v>
      </c>
      <c r="X10" s="19"/>
      <c r="Y10" s="19">
        <f>+'4 - Cost Support'!T341</f>
        <v>0</v>
      </c>
    </row>
    <row r="11" spans="1:25">
      <c r="A11" s="6">
        <f>+A10+1</f>
        <v>2</v>
      </c>
      <c r="B11" s="124" t="s">
        <v>31</v>
      </c>
      <c r="C11" s="125" t="str">
        <f>"(Attachment 4, Line "&amp;'4 - Cost Support'!A297&amp;" etc.)"</f>
        <v>(Attachment 4, Line 119 etc.)</v>
      </c>
      <c r="D11" s="124"/>
      <c r="E11" s="126"/>
      <c r="F11" s="126"/>
      <c r="G11" s="127">
        <f>+'4 - Cost Support'!T297</f>
        <v>0</v>
      </c>
      <c r="H11" s="127"/>
      <c r="I11" s="127">
        <f>+'4 - Cost Support'!T302</f>
        <v>0</v>
      </c>
      <c r="J11" s="127"/>
      <c r="K11" s="127">
        <f>+'4 - Cost Support'!T307</f>
        <v>0</v>
      </c>
      <c r="L11" s="127"/>
      <c r="M11" s="127">
        <f>+'4 - Cost Support'!T312</f>
        <v>0</v>
      </c>
      <c r="N11" s="127"/>
      <c r="O11" s="127">
        <f>+'4 - Cost Support'!T317</f>
        <v>0</v>
      </c>
      <c r="P11" s="127"/>
      <c r="Q11" s="127">
        <f>+'4 - Cost Support'!T322</f>
        <v>0</v>
      </c>
      <c r="R11" s="127"/>
      <c r="S11" s="127">
        <f>+'4 - Cost Support'!T327</f>
        <v>0</v>
      </c>
      <c r="T11" s="127"/>
      <c r="U11" s="127">
        <f>+'4 - Cost Support'!T332</f>
        <v>0</v>
      </c>
      <c r="V11" s="127"/>
      <c r="W11" s="127">
        <f>+'4 - Cost Support'!T337</f>
        <v>0</v>
      </c>
      <c r="X11" s="127"/>
      <c r="Y11" s="127">
        <f>+'4 - Cost Support'!T342</f>
        <v>0</v>
      </c>
    </row>
    <row r="12" spans="1:25">
      <c r="A12" s="6">
        <f>+A11+1</f>
        <v>3</v>
      </c>
      <c r="B12" s="6" t="s">
        <v>16</v>
      </c>
      <c r="C12" s="6" t="str">
        <f>"(Line "&amp;A10&amp;" + "&amp;A11&amp;")"</f>
        <v>(Line 1 + 2)</v>
      </c>
      <c r="E12" s="123"/>
      <c r="F12" s="123"/>
      <c r="G12" s="19">
        <f>+G10-G11</f>
        <v>6297751.461538462</v>
      </c>
      <c r="H12" s="19"/>
      <c r="I12" s="19">
        <f>+I10-I11</f>
        <v>0</v>
      </c>
      <c r="J12" s="19"/>
      <c r="K12" s="19">
        <f>+K10-K11</f>
        <v>0</v>
      </c>
      <c r="L12" s="19"/>
      <c r="M12" s="19">
        <f>+M10-M11</f>
        <v>0</v>
      </c>
      <c r="N12" s="19"/>
      <c r="O12" s="19">
        <f>+O10-O11</f>
        <v>0</v>
      </c>
      <c r="P12" s="19"/>
      <c r="Q12" s="19">
        <f>+Q10-Q11</f>
        <v>0</v>
      </c>
      <c r="R12" s="19"/>
      <c r="S12" s="19">
        <f>+S10-S11</f>
        <v>0</v>
      </c>
      <c r="T12" s="19"/>
      <c r="U12" s="19">
        <f>+U10-U11</f>
        <v>0</v>
      </c>
      <c r="V12" s="19"/>
      <c r="W12" s="19">
        <f>+W10-W11</f>
        <v>0</v>
      </c>
      <c r="X12" s="19"/>
      <c r="Y12" s="19">
        <f>+Y10-Y11</f>
        <v>0</v>
      </c>
    </row>
    <row r="14" spans="1:25" ht="28.5">
      <c r="A14" s="6">
        <f>+A12+1</f>
        <v>4</v>
      </c>
      <c r="B14" s="128" t="s">
        <v>677</v>
      </c>
      <c r="C14" s="125" t="str">
        <f>"(Appendix A, Line "&amp;'Appendix A'!A274&amp;")"</f>
        <v>(Appendix A, Line 163)</v>
      </c>
      <c r="D14" s="124"/>
      <c r="E14" s="124"/>
      <c r="F14" s="124"/>
      <c r="G14" s="129">
        <f>+'Appendix A'!$H$274</f>
        <v>0.17202787851999285</v>
      </c>
      <c r="H14" s="129"/>
      <c r="I14" s="129">
        <f>+'Appendix A'!$H$274</f>
        <v>0.17202787851999285</v>
      </c>
      <c r="J14" s="129"/>
      <c r="K14" s="129">
        <f>+'Appendix A'!$H$274</f>
        <v>0.17202787851999285</v>
      </c>
      <c r="L14" s="129"/>
      <c r="M14" s="129">
        <f>+'Appendix A'!$H$274</f>
        <v>0.17202787851999285</v>
      </c>
      <c r="N14" s="129"/>
      <c r="O14" s="129">
        <f>+'Appendix A'!$H$274</f>
        <v>0.17202787851999285</v>
      </c>
      <c r="P14" s="129"/>
      <c r="Q14" s="129">
        <f>+'Appendix A'!$H$274</f>
        <v>0.17202787851999285</v>
      </c>
      <c r="R14" s="129"/>
      <c r="S14" s="129">
        <f>+'Appendix A'!$H$274</f>
        <v>0.17202787851999285</v>
      </c>
      <c r="T14" s="129"/>
      <c r="U14" s="129">
        <f>+'Appendix A'!$H$274</f>
        <v>0.17202787851999285</v>
      </c>
      <c r="V14" s="129"/>
      <c r="W14" s="129">
        <f>+'Appendix A'!$H$274</f>
        <v>0.17202787851999285</v>
      </c>
      <c r="X14" s="129"/>
      <c r="Y14" s="129">
        <f>+'Appendix A'!$H$274</f>
        <v>0.17202787851999285</v>
      </c>
    </row>
    <row r="15" spans="1:25" ht="28.5">
      <c r="A15" s="6">
        <f>+A14+1</f>
        <v>5</v>
      </c>
      <c r="B15" s="61" t="s">
        <v>678</v>
      </c>
      <c r="C15" s="6" t="str">
        <f>"(Line "&amp;A12&amp;" * Line "&amp;A14&amp;")"</f>
        <v>(Line 3 * Line 4)</v>
      </c>
      <c r="E15" s="19"/>
      <c r="F15" s="19"/>
      <c r="G15" s="19">
        <f>+G12*G14</f>
        <v>1083388.823374646</v>
      </c>
      <c r="H15" s="19"/>
      <c r="I15" s="19">
        <f>+I12*I14</f>
        <v>0</v>
      </c>
      <c r="J15" s="19"/>
      <c r="K15" s="19">
        <f>+K12*K14</f>
        <v>0</v>
      </c>
      <c r="L15" s="19"/>
      <c r="M15" s="19">
        <f>+M12*M14</f>
        <v>0</v>
      </c>
      <c r="N15" s="19"/>
      <c r="O15" s="19">
        <f>+O12*O14</f>
        <v>0</v>
      </c>
      <c r="P15" s="19"/>
      <c r="Q15" s="19">
        <f>+Q12*Q14</f>
        <v>0</v>
      </c>
      <c r="R15" s="19"/>
      <c r="S15" s="19">
        <f>+S12*S14</f>
        <v>0</v>
      </c>
      <c r="T15" s="19"/>
      <c r="U15" s="19">
        <f>+U12*U14</f>
        <v>0</v>
      </c>
      <c r="V15" s="19"/>
      <c r="W15" s="19">
        <f>+W12*W14</f>
        <v>0</v>
      </c>
      <c r="X15" s="19"/>
      <c r="Y15" s="19">
        <f>+Y12*Y14</f>
        <v>0</v>
      </c>
    </row>
    <row r="16" spans="1:25">
      <c r="A16" s="6">
        <f>+A15+1</f>
        <v>6</v>
      </c>
      <c r="B16" s="6" t="s">
        <v>597</v>
      </c>
      <c r="C16" s="122" t="str">
        <f>"(Attachment 4, Line "&amp;'4 - Cost Support'!A298&amp;" etc.)"</f>
        <v>(Attachment 4, Line 120 etc.)</v>
      </c>
      <c r="E16" s="19"/>
      <c r="F16" s="19"/>
      <c r="G16" s="19">
        <f>+'4 - Cost Support'!T298</f>
        <v>0</v>
      </c>
      <c r="H16" s="19"/>
      <c r="I16" s="19">
        <f>+'4 - Cost Support'!T303</f>
        <v>0</v>
      </c>
      <c r="J16" s="19"/>
      <c r="K16" s="19">
        <f>+'4 - Cost Support'!T308</f>
        <v>0</v>
      </c>
      <c r="L16" s="19"/>
      <c r="M16" s="19">
        <f>+'4 - Cost Support'!T313</f>
        <v>0</v>
      </c>
      <c r="N16" s="19"/>
      <c r="O16" s="19">
        <f>+'4 - Cost Support'!T318</f>
        <v>0</v>
      </c>
      <c r="P16" s="19"/>
      <c r="Q16" s="19">
        <f>+'4 - Cost Support'!T323</f>
        <v>0</v>
      </c>
      <c r="R16" s="19"/>
      <c r="S16" s="19">
        <f>+'4 - Cost Support'!T328</f>
        <v>0</v>
      </c>
      <c r="T16" s="19"/>
      <c r="U16" s="19">
        <f>+'4 - Cost Support'!T333</f>
        <v>0</v>
      </c>
      <c r="V16" s="19"/>
      <c r="W16" s="19">
        <f>+'4 - Cost Support'!T338</f>
        <v>0</v>
      </c>
      <c r="X16" s="19"/>
      <c r="Y16" s="19">
        <f>+'4 - Cost Support'!T343</f>
        <v>0</v>
      </c>
    </row>
    <row r="17" spans="1:25">
      <c r="A17" s="6">
        <f>+A16+1</f>
        <v>7</v>
      </c>
      <c r="B17" s="124" t="s">
        <v>679</v>
      </c>
      <c r="C17" s="124" t="s">
        <v>680</v>
      </c>
      <c r="D17" s="124"/>
      <c r="E17" s="127"/>
      <c r="F17" s="127"/>
      <c r="G17" s="130">
        <v>0</v>
      </c>
      <c r="H17" s="127"/>
      <c r="I17" s="130">
        <v>0</v>
      </c>
      <c r="J17" s="127"/>
      <c r="K17" s="130">
        <v>0</v>
      </c>
      <c r="L17" s="127"/>
      <c r="M17" s="130">
        <v>0</v>
      </c>
      <c r="N17" s="127"/>
      <c r="O17" s="130">
        <v>0</v>
      </c>
      <c r="P17" s="127"/>
      <c r="Q17" s="130">
        <v>0</v>
      </c>
      <c r="R17" s="127"/>
      <c r="S17" s="130">
        <v>0</v>
      </c>
      <c r="T17" s="127"/>
      <c r="U17" s="130">
        <v>0</v>
      </c>
      <c r="V17" s="127"/>
      <c r="W17" s="130">
        <v>0</v>
      </c>
      <c r="X17" s="127"/>
      <c r="Y17" s="130">
        <v>0</v>
      </c>
    </row>
    <row r="18" spans="1:25">
      <c r="E18" s="19"/>
      <c r="F18" s="19"/>
      <c r="G18" s="19"/>
      <c r="H18" s="19"/>
      <c r="I18" s="19"/>
      <c r="J18" s="19"/>
      <c r="K18" s="19"/>
      <c r="L18" s="19"/>
      <c r="M18" s="19"/>
      <c r="N18" s="19"/>
      <c r="O18" s="19"/>
      <c r="P18" s="19"/>
      <c r="Q18" s="19"/>
      <c r="R18" s="19"/>
      <c r="S18" s="19"/>
      <c r="T18" s="19"/>
      <c r="U18" s="19"/>
      <c r="V18" s="19"/>
      <c r="W18" s="19"/>
      <c r="X18" s="19"/>
      <c r="Y18" s="19"/>
    </row>
    <row r="19" spans="1:25" ht="15">
      <c r="A19" s="6">
        <f>+A17+1</f>
        <v>8</v>
      </c>
      <c r="B19" s="6" t="s">
        <v>681</v>
      </c>
      <c r="C19" s="6" t="str">
        <f>"(Line "&amp;A15&amp;" + Line "&amp;A16&amp;" + Line "&amp;A17&amp;")"</f>
        <v>(Line 5 + Line 6 + Line 7)</v>
      </c>
      <c r="E19" s="62">
        <f>+SUM(G19:Y19)</f>
        <v>1083388.823374646</v>
      </c>
      <c r="F19" s="19"/>
      <c r="G19" s="19">
        <f>+G15+G16+ G17</f>
        <v>1083388.823374646</v>
      </c>
      <c r="H19" s="19"/>
      <c r="I19" s="19">
        <f>+I15+I16+ I17</f>
        <v>0</v>
      </c>
      <c r="J19" s="19"/>
      <c r="K19" s="19">
        <f>+K15+K16+ K17</f>
        <v>0</v>
      </c>
      <c r="L19" s="19"/>
      <c r="M19" s="19">
        <f>+M15+M16+ M17</f>
        <v>0</v>
      </c>
      <c r="N19" s="19"/>
      <c r="O19" s="19">
        <f>+O15+O16+ O17</f>
        <v>0</v>
      </c>
      <c r="P19" s="19"/>
      <c r="Q19" s="19">
        <f>+Q15+Q16+ Q17</f>
        <v>0</v>
      </c>
      <c r="R19" s="19"/>
      <c r="S19" s="19">
        <f>+S15+S16+ S17</f>
        <v>0</v>
      </c>
      <c r="T19" s="19"/>
      <c r="U19" s="19">
        <f>+U15+U16+ U17</f>
        <v>0</v>
      </c>
      <c r="V19" s="19"/>
      <c r="W19" s="19">
        <f>+W15+W16+ W17</f>
        <v>0</v>
      </c>
      <c r="X19" s="19"/>
      <c r="Y19" s="19">
        <f>+Y15+Y16+ Y17</f>
        <v>0</v>
      </c>
    </row>
    <row r="20" spans="1:25">
      <c r="E20" s="19"/>
      <c r="F20" s="19"/>
      <c r="G20" s="19"/>
      <c r="H20" s="19"/>
      <c r="I20" s="19"/>
      <c r="J20" s="19"/>
      <c r="K20" s="19"/>
      <c r="L20" s="19"/>
      <c r="M20" s="19"/>
      <c r="N20" s="19"/>
      <c r="O20" s="19"/>
      <c r="P20" s="19"/>
      <c r="Q20" s="19"/>
      <c r="R20" s="19"/>
      <c r="S20" s="19"/>
      <c r="T20" s="19"/>
      <c r="U20" s="19"/>
      <c r="V20" s="19"/>
      <c r="W20" s="19"/>
      <c r="X20" s="19"/>
      <c r="Y20" s="19"/>
    </row>
    <row r="21" spans="1:25">
      <c r="A21" s="6">
        <f>+A19+1</f>
        <v>9</v>
      </c>
      <c r="B21" s="6" t="s">
        <v>682</v>
      </c>
      <c r="C21" s="122" t="str">
        <f>"(Attachment 6B, Line "&amp;'6B - Schedule 12 True-Up'!B40&amp;")"</f>
        <v>(Attachment 6B, Line E)</v>
      </c>
      <c r="E21" s="130">
        <v>0</v>
      </c>
      <c r="F21" s="19"/>
      <c r="G21" s="127">
        <f>+G19/$E$19*$E$21</f>
        <v>0</v>
      </c>
      <c r="H21" s="19"/>
      <c r="I21" s="127">
        <f>+I19/$E$19*$E$21</f>
        <v>0</v>
      </c>
      <c r="J21" s="19"/>
      <c r="K21" s="127">
        <f>+K19/$E$19*$E$21</f>
        <v>0</v>
      </c>
      <c r="L21" s="19"/>
      <c r="M21" s="127">
        <f>+M19/$E$19*$E$21</f>
        <v>0</v>
      </c>
      <c r="N21" s="19"/>
      <c r="O21" s="127">
        <f>+O19/$E$19*$E$21</f>
        <v>0</v>
      </c>
      <c r="P21" s="19"/>
      <c r="Q21" s="127">
        <f>+Q19/$E$19*$E$21</f>
        <v>0</v>
      </c>
      <c r="R21" s="19"/>
      <c r="S21" s="127">
        <f>+S19/$E$19*$E$21</f>
        <v>0</v>
      </c>
      <c r="T21" s="19"/>
      <c r="U21" s="127">
        <f>+U19/$E$19*$E$21</f>
        <v>0</v>
      </c>
      <c r="V21" s="19"/>
      <c r="W21" s="127">
        <f>+W19/$E$19*$E$21</f>
        <v>0</v>
      </c>
      <c r="X21" s="19"/>
      <c r="Y21" s="127">
        <f>+Y19/$E$19*$E$21</f>
        <v>0</v>
      </c>
    </row>
    <row r="22" spans="1:25">
      <c r="B22" s="6" t="s">
        <v>683</v>
      </c>
      <c r="E22" s="19"/>
      <c r="F22" s="19"/>
      <c r="G22" s="19"/>
      <c r="H22" s="19"/>
      <c r="I22" s="19"/>
      <c r="J22" s="19"/>
      <c r="K22" s="19"/>
      <c r="L22" s="19"/>
      <c r="M22" s="19"/>
      <c r="N22" s="19"/>
      <c r="O22" s="19"/>
      <c r="P22" s="19"/>
      <c r="Q22" s="19"/>
      <c r="R22" s="19"/>
      <c r="S22" s="19"/>
      <c r="T22" s="19"/>
      <c r="U22" s="19"/>
      <c r="V22" s="19"/>
      <c r="W22" s="19"/>
      <c r="X22" s="19"/>
      <c r="Y22" s="19"/>
    </row>
    <row r="23" spans="1:25" ht="15">
      <c r="A23" s="6">
        <f>+A21+1</f>
        <v>10</v>
      </c>
      <c r="B23" s="6" t="s">
        <v>684</v>
      </c>
      <c r="C23" s="6" t="str">
        <f>"(Line "&amp;A19&amp;" + Line "&amp;A21&amp;")"</f>
        <v>(Line 8 + Line 9)</v>
      </c>
      <c r="E23" s="62">
        <f>+E19+E21</f>
        <v>1083388.823374646</v>
      </c>
      <c r="F23" s="19"/>
      <c r="G23" s="19">
        <f>+G19+G21</f>
        <v>1083388.823374646</v>
      </c>
      <c r="H23" s="19"/>
      <c r="I23" s="19">
        <f>+I19+I21</f>
        <v>0</v>
      </c>
      <c r="J23" s="19"/>
      <c r="K23" s="19">
        <f>+K19+K21</f>
        <v>0</v>
      </c>
      <c r="L23" s="19"/>
      <c r="M23" s="19">
        <f>+M19+M21</f>
        <v>0</v>
      </c>
      <c r="N23" s="19"/>
      <c r="O23" s="19">
        <f>+O19+O21</f>
        <v>0</v>
      </c>
      <c r="P23" s="19"/>
      <c r="Q23" s="19">
        <f>+Q19+Q21</f>
        <v>0</v>
      </c>
      <c r="R23" s="19"/>
      <c r="S23" s="19">
        <f>+S19+S21</f>
        <v>0</v>
      </c>
      <c r="T23" s="19"/>
      <c r="U23" s="19">
        <f>+U19+U21</f>
        <v>0</v>
      </c>
      <c r="V23" s="19"/>
      <c r="W23" s="19">
        <f>+W19+W21</f>
        <v>0</v>
      </c>
      <c r="X23" s="19"/>
      <c r="Y23" s="19">
        <f>+Y19+Y21</f>
        <v>0</v>
      </c>
    </row>
    <row r="24" spans="1:25">
      <c r="B24" s="6" t="s">
        <v>685</v>
      </c>
    </row>
    <row r="26" spans="1:25">
      <c r="A26" s="6">
        <f>+A23+1</f>
        <v>11</v>
      </c>
      <c r="B26" s="6" t="s">
        <v>686</v>
      </c>
      <c r="G26" s="131">
        <v>9.9299999999999999E-2</v>
      </c>
      <c r="H26" s="101"/>
      <c r="I26" s="131">
        <v>0</v>
      </c>
      <c r="J26" s="101"/>
      <c r="K26" s="131">
        <v>0</v>
      </c>
      <c r="L26" s="101"/>
      <c r="M26" s="131">
        <v>0</v>
      </c>
      <c r="N26" s="101"/>
      <c r="O26" s="131">
        <v>0</v>
      </c>
      <c r="P26" s="101"/>
      <c r="Q26" s="131">
        <v>0</v>
      </c>
      <c r="R26" s="101"/>
      <c r="S26" s="131">
        <v>0</v>
      </c>
      <c r="T26" s="101"/>
      <c r="U26" s="131">
        <v>0</v>
      </c>
      <c r="V26" s="101"/>
      <c r="W26" s="131">
        <v>0</v>
      </c>
      <c r="X26" s="101"/>
      <c r="Y26" s="131">
        <v>0</v>
      </c>
    </row>
    <row r="28" spans="1:25" ht="15">
      <c r="A28" s="6">
        <f>+A26+1</f>
        <v>12</v>
      </c>
      <c r="B28" s="6" t="s">
        <v>687</v>
      </c>
      <c r="C28" s="6" t="str">
        <f>"(Line "&amp;A23&amp;" * Line "&amp;A26&amp;")"</f>
        <v>(Line 10 * Line 11)</v>
      </c>
      <c r="E28" s="62">
        <f>+SUM(G28:Y28)</f>
        <v>107580.51016110234</v>
      </c>
      <c r="G28" s="33">
        <f>+G23*G26</f>
        <v>107580.51016110234</v>
      </c>
      <c r="H28" s="33"/>
      <c r="I28" s="33">
        <f>+I23*I26</f>
        <v>0</v>
      </c>
      <c r="J28" s="33"/>
      <c r="K28" s="33">
        <f>+K23*K26</f>
        <v>0</v>
      </c>
      <c r="L28" s="33"/>
      <c r="M28" s="33">
        <f>+M23*M26</f>
        <v>0</v>
      </c>
      <c r="N28" s="33"/>
      <c r="O28" s="33">
        <f>+O23*O26</f>
        <v>0</v>
      </c>
      <c r="P28" s="33"/>
      <c r="Q28" s="33">
        <f>+Q23*Q26</f>
        <v>0</v>
      </c>
      <c r="R28" s="33"/>
      <c r="S28" s="33">
        <f>+S23*S26</f>
        <v>0</v>
      </c>
      <c r="T28" s="33"/>
      <c r="U28" s="33">
        <f>+U23*U26</f>
        <v>0</v>
      </c>
      <c r="V28" s="33"/>
      <c r="W28" s="33">
        <f>+W23*W26</f>
        <v>0</v>
      </c>
      <c r="X28" s="33"/>
      <c r="Y28" s="33">
        <f>+Y23*Y26</f>
        <v>0</v>
      </c>
    </row>
    <row r="32" spans="1:25">
      <c r="B32" s="6" t="s">
        <v>688</v>
      </c>
    </row>
  </sheetData>
  <pageMargins left="0.7" right="0.7" top="0.75" bottom="0.75" header="0.3" footer="0.3"/>
  <pageSetup scale="50" orientation="landscape" r:id="rId1"/>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4"/>
  <sheetViews>
    <sheetView topLeftCell="A4" zoomScaleNormal="100" zoomScaleSheetLayoutView="80" workbookViewId="0">
      <selection activeCell="D308" sqref="D308"/>
    </sheetView>
  </sheetViews>
  <sheetFormatPr defaultColWidth="8.7109375" defaultRowHeight="14.25"/>
  <cols>
    <col min="1" max="1" width="40.140625" style="6" customWidth="1"/>
    <col min="2" max="2" width="41.7109375" style="6" customWidth="1"/>
    <col min="3" max="3" width="17.140625" style="6" customWidth="1"/>
    <col min="4" max="4" width="9" style="99" bestFit="1" customWidth="1"/>
    <col min="5" max="5" width="7.140625" style="6" bestFit="1" customWidth="1"/>
    <col min="6" max="6" width="10.140625" style="6" customWidth="1"/>
    <col min="7" max="16384" width="8.7109375" style="6"/>
  </cols>
  <sheetData>
    <row r="1" spans="1:7" ht="15">
      <c r="B1" s="11" t="s">
        <v>0</v>
      </c>
    </row>
    <row r="2" spans="1:7" ht="15">
      <c r="B2" s="11" t="str">
        <f>+'Appendix A'!A4</f>
        <v xml:space="preserve">ATTACHMENT H-15A </v>
      </c>
    </row>
    <row r="3" spans="1:7" ht="15">
      <c r="B3" s="11" t="s">
        <v>689</v>
      </c>
    </row>
    <row r="4" spans="1:7" ht="21.75" customHeight="1">
      <c r="B4" s="100">
        <v>44196</v>
      </c>
      <c r="F4" s="24"/>
    </row>
    <row r="6" spans="1:7">
      <c r="A6" s="742"/>
      <c r="B6" s="742"/>
      <c r="C6" s="742"/>
      <c r="D6" s="742"/>
      <c r="E6" s="742"/>
      <c r="F6" s="742"/>
      <c r="G6" s="742"/>
    </row>
    <row r="7" spans="1:7">
      <c r="A7" s="743"/>
      <c r="B7" s="743"/>
      <c r="C7" s="743"/>
      <c r="D7" s="743"/>
      <c r="E7" s="743"/>
      <c r="F7" s="743"/>
      <c r="G7" s="743"/>
    </row>
    <row r="8" spans="1:7">
      <c r="C8" s="101"/>
    </row>
    <row r="9" spans="1:7">
      <c r="A9" s="102" t="s">
        <v>447</v>
      </c>
      <c r="B9" s="103" t="s">
        <v>690</v>
      </c>
      <c r="C9" s="103" t="s">
        <v>691</v>
      </c>
    </row>
    <row r="10" spans="1:7">
      <c r="A10" s="104"/>
      <c r="B10" s="104"/>
      <c r="C10" s="104"/>
    </row>
    <row r="11" spans="1:7" ht="15">
      <c r="A11" s="102" t="s">
        <v>692</v>
      </c>
      <c r="B11" s="3"/>
      <c r="C11" s="105"/>
    </row>
    <row r="12" spans="1:7">
      <c r="A12" s="106">
        <v>350</v>
      </c>
      <c r="B12" s="3" t="s">
        <v>693</v>
      </c>
      <c r="C12" s="107" t="s">
        <v>694</v>
      </c>
    </row>
    <row r="13" spans="1:7">
      <c r="A13" s="106">
        <v>352</v>
      </c>
      <c r="B13" s="3" t="s">
        <v>695</v>
      </c>
      <c r="C13" s="8">
        <v>1.9199999999999998E-2</v>
      </c>
    </row>
    <row r="14" spans="1:7">
      <c r="A14" s="106">
        <v>353</v>
      </c>
      <c r="B14" s="3" t="s">
        <v>696</v>
      </c>
      <c r="C14" s="8">
        <v>2.0899999999999998E-2</v>
      </c>
      <c r="E14" s="108"/>
    </row>
    <row r="15" spans="1:7">
      <c r="A15" s="106">
        <v>354</v>
      </c>
      <c r="B15" s="3" t="s">
        <v>697</v>
      </c>
      <c r="C15" s="8">
        <v>1.9199999999999998E-2</v>
      </c>
      <c r="E15" s="108"/>
    </row>
    <row r="16" spans="1:7">
      <c r="A16" s="106">
        <v>355</v>
      </c>
      <c r="B16" s="3" t="s">
        <v>698</v>
      </c>
      <c r="C16" s="8">
        <v>2.4500000000000001E-2</v>
      </c>
      <c r="E16" s="108"/>
    </row>
    <row r="17" spans="1:5">
      <c r="A17" s="106">
        <v>356</v>
      </c>
      <c r="B17" s="3" t="s">
        <v>699</v>
      </c>
      <c r="C17" s="8">
        <v>2.4500000000000001E-2</v>
      </c>
      <c r="E17" s="108"/>
    </row>
    <row r="18" spans="1:5">
      <c r="A18" s="106">
        <v>357</v>
      </c>
      <c r="B18" s="3" t="s">
        <v>700</v>
      </c>
      <c r="C18" s="8">
        <v>1.3299999999999999E-2</v>
      </c>
      <c r="E18" s="108"/>
    </row>
    <row r="19" spans="1:5">
      <c r="A19" s="106">
        <v>358</v>
      </c>
      <c r="B19" s="3" t="s">
        <v>701</v>
      </c>
      <c r="C19" s="8">
        <v>1.8200000000000001E-2</v>
      </c>
      <c r="E19" s="108"/>
    </row>
    <row r="20" spans="1:5">
      <c r="A20" s="106">
        <v>359</v>
      </c>
      <c r="B20" s="3" t="s">
        <v>702</v>
      </c>
      <c r="C20" s="8">
        <v>1.2500000000000001E-2</v>
      </c>
      <c r="E20" s="108"/>
    </row>
    <row r="21" spans="1:5">
      <c r="A21" s="106"/>
      <c r="B21" s="3"/>
      <c r="C21" s="107"/>
      <c r="D21" s="101"/>
      <c r="E21" s="108"/>
    </row>
    <row r="22" spans="1:5">
      <c r="A22" s="109" t="s">
        <v>948</v>
      </c>
      <c r="B22" s="3"/>
      <c r="C22" s="110"/>
      <c r="D22" s="101"/>
      <c r="E22" s="108"/>
    </row>
    <row r="23" spans="1:5">
      <c r="A23" s="106">
        <v>302</v>
      </c>
      <c r="B23" s="3" t="s">
        <v>703</v>
      </c>
      <c r="C23" s="107" t="s">
        <v>694</v>
      </c>
      <c r="D23" s="101"/>
      <c r="E23" s="108"/>
    </row>
    <row r="24" spans="1:5">
      <c r="A24" s="106">
        <v>303</v>
      </c>
      <c r="B24" s="3" t="s">
        <v>704</v>
      </c>
      <c r="C24" s="8">
        <v>0.1429</v>
      </c>
      <c r="D24" s="101"/>
      <c r="E24" s="108"/>
    </row>
    <row r="25" spans="1:5">
      <c r="A25" s="106">
        <v>390</v>
      </c>
      <c r="B25" s="4" t="s">
        <v>695</v>
      </c>
      <c r="C25" s="8">
        <v>3.3300000000000003E-2</v>
      </c>
      <c r="D25" s="101"/>
      <c r="E25" s="108"/>
    </row>
    <row r="26" spans="1:5">
      <c r="A26" s="111">
        <v>362.1</v>
      </c>
      <c r="B26" s="4" t="s">
        <v>705</v>
      </c>
      <c r="C26" s="8">
        <v>0.04</v>
      </c>
      <c r="D26" s="101"/>
      <c r="E26" s="108"/>
    </row>
    <row r="27" spans="1:5">
      <c r="A27" s="111">
        <v>362.1</v>
      </c>
      <c r="B27" s="4" t="s">
        <v>706</v>
      </c>
      <c r="C27" s="8">
        <v>0.1429</v>
      </c>
      <c r="D27" s="101"/>
      <c r="E27" s="108"/>
    </row>
    <row r="28" spans="1:5">
      <c r="A28" s="111">
        <v>362.2</v>
      </c>
      <c r="B28" s="4" t="s">
        <v>707</v>
      </c>
      <c r="C28" s="8">
        <v>0.12</v>
      </c>
      <c r="D28" s="101"/>
      <c r="E28" s="108"/>
    </row>
    <row r="29" spans="1:5">
      <c r="A29" s="111">
        <v>362.2</v>
      </c>
      <c r="B29" s="4" t="s">
        <v>708</v>
      </c>
      <c r="C29" s="8">
        <v>0.12</v>
      </c>
      <c r="D29" s="101"/>
      <c r="E29" s="108"/>
    </row>
    <row r="30" spans="1:5">
      <c r="A30" s="111">
        <v>362.2</v>
      </c>
      <c r="B30" s="4" t="s">
        <v>709</v>
      </c>
      <c r="C30" s="8">
        <v>0.12</v>
      </c>
      <c r="D30" s="101"/>
      <c r="E30" s="108"/>
    </row>
    <row r="31" spans="1:5">
      <c r="A31" s="111">
        <v>362.2</v>
      </c>
      <c r="B31" s="4" t="s">
        <v>710</v>
      </c>
      <c r="C31" s="8">
        <v>0.12</v>
      </c>
      <c r="D31" s="101"/>
      <c r="E31" s="108"/>
    </row>
    <row r="32" spans="1:5">
      <c r="A32" s="106">
        <v>393</v>
      </c>
      <c r="B32" s="4" t="s">
        <v>711</v>
      </c>
      <c r="C32" s="8">
        <v>3.85E-2</v>
      </c>
    </row>
    <row r="33" spans="1:5">
      <c r="A33" s="106">
        <v>394</v>
      </c>
      <c r="B33" s="4" t="s">
        <v>712</v>
      </c>
      <c r="C33" s="8">
        <v>3.6499999999999998E-2</v>
      </c>
    </row>
    <row r="34" spans="1:5">
      <c r="A34" s="106">
        <v>395</v>
      </c>
      <c r="B34" s="4" t="s">
        <v>713</v>
      </c>
      <c r="C34" s="8">
        <v>0.04</v>
      </c>
    </row>
    <row r="35" spans="1:5">
      <c r="A35" s="106">
        <v>396</v>
      </c>
      <c r="B35" s="4" t="s">
        <v>714</v>
      </c>
      <c r="C35" s="8">
        <v>0.05</v>
      </c>
    </row>
    <row r="36" spans="1:5">
      <c r="A36" s="111">
        <v>362.7</v>
      </c>
      <c r="B36" s="3" t="s">
        <v>715</v>
      </c>
      <c r="C36" s="8">
        <v>0.05</v>
      </c>
    </row>
    <row r="37" spans="1:5">
      <c r="A37" s="106">
        <v>398</v>
      </c>
      <c r="B37" s="4" t="s">
        <v>716</v>
      </c>
      <c r="C37" s="8">
        <v>6.25E-2</v>
      </c>
    </row>
    <row r="38" spans="1:5">
      <c r="A38" s="3"/>
      <c r="B38" s="3"/>
      <c r="C38" s="3"/>
      <c r="D38" s="112"/>
      <c r="E38" s="113"/>
    </row>
    <row r="39" spans="1:5">
      <c r="A39" s="5" t="s">
        <v>717</v>
      </c>
      <c r="B39" s="3"/>
      <c r="C39" s="3"/>
      <c r="D39" s="112"/>
      <c r="E39" s="3"/>
    </row>
    <row r="40" spans="1:5">
      <c r="A40" s="3" t="s">
        <v>718</v>
      </c>
      <c r="B40" s="3"/>
      <c r="C40" s="3"/>
      <c r="D40" s="112"/>
      <c r="E40" s="3"/>
    </row>
    <row r="41" spans="1:5">
      <c r="A41" s="5"/>
      <c r="B41" s="3"/>
      <c r="C41" s="4"/>
      <c r="D41" s="114"/>
      <c r="E41" s="3"/>
    </row>
    <row r="42" spans="1:5">
      <c r="A42" s="5"/>
      <c r="C42" s="3"/>
      <c r="D42" s="4"/>
      <c r="E42" s="3"/>
    </row>
    <row r="43" spans="1:5">
      <c r="A43" s="744"/>
      <c r="B43" s="745"/>
      <c r="C43" s="745"/>
    </row>
    <row r="44" spans="1:5">
      <c r="A44" s="7"/>
      <c r="B44" s="10"/>
      <c r="C44" s="8"/>
    </row>
  </sheetData>
  <mergeCells count="3">
    <mergeCell ref="A6:G6"/>
    <mergeCell ref="A7:G7"/>
    <mergeCell ref="A43:C43"/>
  </mergeCells>
  <phoneticPr fontId="152" type="noConversion"/>
  <pageMargins left="0.7" right="0.7" top="0.75" bottom="0.75" header="0.3" footer="0.3"/>
  <pageSetup scale="83" orientation="landscape"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AA80"/>
  <sheetViews>
    <sheetView topLeftCell="A34" zoomScale="85" zoomScaleNormal="85" zoomScaleSheetLayoutView="70" workbookViewId="0">
      <selection activeCell="M70" sqref="M70"/>
    </sheetView>
  </sheetViews>
  <sheetFormatPr defaultColWidth="8.7109375" defaultRowHeight="14.25"/>
  <cols>
    <col min="1" max="1" width="5.140625" style="6" customWidth="1"/>
    <col min="2" max="2" width="46" style="6" customWidth="1"/>
    <col min="3" max="4" width="29" style="6" customWidth="1"/>
    <col min="5" max="7" width="18.140625" style="6" customWidth="1"/>
    <col min="8" max="8" width="14.140625" style="6" customWidth="1"/>
    <col min="9" max="10" width="16.28515625" style="6" customWidth="1"/>
    <col min="11" max="11" width="15.7109375" style="6" customWidth="1"/>
    <col min="12" max="12" width="16" style="6" customWidth="1"/>
    <col min="13" max="13" width="14.85546875" style="6" customWidth="1"/>
    <col min="14" max="14" width="16.7109375" style="6" customWidth="1"/>
    <col min="15" max="15" width="14.85546875" style="6" customWidth="1"/>
    <col min="16" max="16" width="17.140625" style="6" customWidth="1"/>
    <col min="17" max="17" width="13.42578125" style="6" customWidth="1"/>
    <col min="18" max="18" width="15.28515625" style="6" customWidth="1"/>
    <col min="19" max="19" width="13.5703125" style="6" customWidth="1"/>
    <col min="20" max="20" width="15.7109375" style="6" customWidth="1"/>
    <col min="21" max="21" width="16.5703125" style="6" customWidth="1"/>
    <col min="22" max="22" width="14.28515625" style="6" customWidth="1"/>
    <col min="23" max="23" width="13.85546875" style="6" customWidth="1"/>
    <col min="24" max="24" width="13.5703125" style="6" customWidth="1"/>
    <col min="25" max="25" width="17.140625" style="6" customWidth="1"/>
    <col min="26" max="26" width="17.5703125" style="6" customWidth="1"/>
    <col min="27" max="16384" width="8.7109375" style="6"/>
  </cols>
  <sheetData>
    <row r="2" spans="1:26" ht="15">
      <c r="I2" s="44" t="str">
        <f>+'Appendix A'!A3</f>
        <v>Dayton Power and Light</v>
      </c>
    </row>
    <row r="3" spans="1:26" ht="15">
      <c r="I3" s="44" t="str">
        <f>+'Appendix A'!A4</f>
        <v xml:space="preserve">ATTACHMENT H-15A </v>
      </c>
      <c r="P3" s="24"/>
    </row>
    <row r="4" spans="1:26" ht="30" customHeight="1">
      <c r="B4" s="746" t="s">
        <v>934</v>
      </c>
      <c r="C4" s="746"/>
      <c r="I4" s="44" t="s">
        <v>1017</v>
      </c>
    </row>
    <row r="5" spans="1:26" ht="15">
      <c r="I5" s="44" t="s">
        <v>719</v>
      </c>
    </row>
    <row r="6" spans="1:26" ht="15">
      <c r="A6" s="46" t="s">
        <v>366</v>
      </c>
      <c r="I6" s="44"/>
    </row>
    <row r="7" spans="1:26">
      <c r="A7" s="17"/>
      <c r="B7" s="17" t="s">
        <v>863</v>
      </c>
      <c r="C7" s="17" t="s">
        <v>864</v>
      </c>
      <c r="D7" s="17" t="s">
        <v>865</v>
      </c>
      <c r="E7" s="17" t="s">
        <v>866</v>
      </c>
      <c r="F7" s="17" t="s">
        <v>867</v>
      </c>
      <c r="G7" s="17" t="s">
        <v>868</v>
      </c>
      <c r="H7" s="17" t="s">
        <v>869</v>
      </c>
      <c r="I7" s="17" t="s">
        <v>870</v>
      </c>
      <c r="J7" s="17" t="s">
        <v>871</v>
      </c>
      <c r="K7" s="17" t="s">
        <v>872</v>
      </c>
      <c r="L7" s="17" t="s">
        <v>873</v>
      </c>
      <c r="M7" s="17" t="s">
        <v>874</v>
      </c>
      <c r="N7" s="17" t="s">
        <v>875</v>
      </c>
      <c r="O7" s="17" t="s">
        <v>876</v>
      </c>
      <c r="P7" s="17" t="s">
        <v>877</v>
      </c>
      <c r="Q7" s="17" t="s">
        <v>878</v>
      </c>
      <c r="R7" s="17" t="s">
        <v>879</v>
      </c>
      <c r="S7" s="17" t="s">
        <v>880</v>
      </c>
      <c r="T7" s="17" t="s">
        <v>881</v>
      </c>
      <c r="U7" s="17" t="s">
        <v>882</v>
      </c>
      <c r="V7" s="17" t="s">
        <v>883</v>
      </c>
      <c r="W7" s="17" t="s">
        <v>884</v>
      </c>
      <c r="X7" s="17" t="s">
        <v>885</v>
      </c>
      <c r="Y7" s="17" t="s">
        <v>886</v>
      </c>
      <c r="Z7" s="17" t="s">
        <v>887</v>
      </c>
    </row>
    <row r="8" spans="1:26" ht="85.5">
      <c r="A8" s="29" t="s">
        <v>741</v>
      </c>
      <c r="B8" s="29" t="s">
        <v>690</v>
      </c>
      <c r="C8" s="13" t="s">
        <v>888</v>
      </c>
      <c r="D8" s="13" t="s">
        <v>889</v>
      </c>
      <c r="E8" s="13" t="s">
        <v>890</v>
      </c>
      <c r="F8" s="13" t="s">
        <v>891</v>
      </c>
      <c r="G8" s="13" t="s">
        <v>892</v>
      </c>
      <c r="H8" s="13" t="s">
        <v>720</v>
      </c>
      <c r="I8" s="13" t="s">
        <v>893</v>
      </c>
      <c r="J8" s="13" t="s">
        <v>894</v>
      </c>
      <c r="K8" s="13" t="s">
        <v>895</v>
      </c>
      <c r="L8" s="13" t="s">
        <v>721</v>
      </c>
      <c r="M8" s="13" t="s">
        <v>722</v>
      </c>
      <c r="N8" s="13" t="s">
        <v>896</v>
      </c>
      <c r="O8" s="13" t="s">
        <v>897</v>
      </c>
      <c r="P8" s="13" t="s">
        <v>898</v>
      </c>
      <c r="Q8" s="13" t="s">
        <v>899</v>
      </c>
      <c r="R8" s="13" t="s">
        <v>900</v>
      </c>
      <c r="S8" s="13" t="s">
        <v>901</v>
      </c>
      <c r="T8" s="13" t="s">
        <v>902</v>
      </c>
      <c r="U8" s="13" t="s">
        <v>903</v>
      </c>
      <c r="V8" s="13" t="s">
        <v>904</v>
      </c>
      <c r="W8" s="13" t="s">
        <v>905</v>
      </c>
      <c r="X8" s="13" t="s">
        <v>906</v>
      </c>
      <c r="Y8" s="13" t="s">
        <v>907</v>
      </c>
      <c r="Z8" s="13" t="s">
        <v>908</v>
      </c>
    </row>
    <row r="9" spans="1:26" ht="30">
      <c r="B9" s="63" t="s">
        <v>909</v>
      </c>
      <c r="C9" s="45"/>
      <c r="D9" s="45"/>
      <c r="E9" s="22"/>
      <c r="F9" s="22"/>
      <c r="G9" s="22"/>
      <c r="H9" s="22"/>
      <c r="I9" s="22"/>
      <c r="J9" s="22"/>
      <c r="K9" s="22"/>
      <c r="L9" s="22"/>
      <c r="M9" s="22"/>
      <c r="N9" s="22"/>
      <c r="O9" s="22"/>
      <c r="P9" s="22"/>
      <c r="Q9" s="22"/>
      <c r="R9" s="22"/>
      <c r="S9" s="22"/>
      <c r="T9" s="22"/>
      <c r="U9" s="22"/>
      <c r="V9" s="22"/>
      <c r="W9" s="22"/>
      <c r="X9" s="22"/>
      <c r="Y9" s="22"/>
      <c r="Z9" s="22"/>
    </row>
    <row r="10" spans="1:26">
      <c r="E10" s="22"/>
      <c r="F10" s="22"/>
      <c r="G10" s="22"/>
      <c r="H10" s="22"/>
      <c r="I10" s="22"/>
      <c r="J10" s="22"/>
      <c r="K10" s="22"/>
      <c r="L10" s="22"/>
      <c r="M10" s="22"/>
      <c r="N10" s="22"/>
      <c r="O10" s="22"/>
      <c r="P10" s="22"/>
      <c r="Q10" s="22"/>
      <c r="R10" s="22"/>
      <c r="S10" s="22"/>
      <c r="T10" s="22"/>
      <c r="U10" s="22"/>
      <c r="V10" s="22"/>
      <c r="W10" s="22"/>
      <c r="X10" s="22"/>
      <c r="Y10" s="22"/>
      <c r="Z10" s="22"/>
    </row>
    <row r="11" spans="1:26">
      <c r="B11" s="6" t="s">
        <v>910</v>
      </c>
      <c r="E11" s="22"/>
      <c r="F11" s="22"/>
      <c r="G11" s="22"/>
      <c r="H11" s="22"/>
      <c r="I11" s="22"/>
      <c r="J11" s="22"/>
      <c r="K11" s="22"/>
      <c r="L11" s="22"/>
      <c r="M11" s="22"/>
      <c r="N11" s="22"/>
      <c r="O11" s="22"/>
      <c r="P11" s="22"/>
      <c r="Q11" s="22"/>
      <c r="R11" s="22"/>
      <c r="S11" s="22"/>
      <c r="T11" s="22"/>
      <c r="U11" s="22"/>
      <c r="V11" s="22"/>
      <c r="W11" s="22"/>
      <c r="X11" s="22"/>
      <c r="Y11" s="22"/>
      <c r="Z11" s="22"/>
    </row>
    <row r="12" spans="1:26">
      <c r="A12" s="6">
        <v>1</v>
      </c>
      <c r="B12" s="64" t="s">
        <v>723</v>
      </c>
      <c r="C12" s="66">
        <v>639062.5</v>
      </c>
      <c r="D12" s="65">
        <f>+C12*$I$80</f>
        <v>383437.5</v>
      </c>
      <c r="E12" s="65">
        <f>+C12-D12</f>
        <v>255625</v>
      </c>
      <c r="F12" s="66">
        <v>0</v>
      </c>
      <c r="G12" s="65">
        <v>255625</v>
      </c>
      <c r="H12" s="67">
        <v>0.14549999999999999</v>
      </c>
      <c r="I12" s="65">
        <f>+G12*H12</f>
        <v>37193.4375</v>
      </c>
      <c r="J12" s="68" t="s">
        <v>911</v>
      </c>
      <c r="K12" s="65">
        <v>0</v>
      </c>
      <c r="L12" s="65">
        <f>+I12-K12</f>
        <v>37193.4375</v>
      </c>
      <c r="M12" s="65">
        <f>+I12/10</f>
        <v>3719.34375</v>
      </c>
      <c r="N12" s="65">
        <f>+L12-M12</f>
        <v>33474.09375</v>
      </c>
      <c r="O12" s="65">
        <f>+I12/10</f>
        <v>3719.34375</v>
      </c>
      <c r="P12" s="65">
        <f>+N12-O12</f>
        <v>29754.75</v>
      </c>
      <c r="Q12" s="65">
        <f>+P12/5</f>
        <v>5950.95</v>
      </c>
      <c r="R12" s="65">
        <f>+P12-Q12</f>
        <v>23803.8</v>
      </c>
      <c r="S12" s="65">
        <f>+$P12/5</f>
        <v>5950.95</v>
      </c>
      <c r="T12" s="65">
        <f>+R12-S12</f>
        <v>17852.849999999999</v>
      </c>
      <c r="U12" s="65">
        <f>+$P12/5</f>
        <v>5950.95</v>
      </c>
      <c r="V12" s="65">
        <f>+T12-U12</f>
        <v>11901.899999999998</v>
      </c>
      <c r="W12" s="65">
        <f>+$P12/5</f>
        <v>5950.95</v>
      </c>
      <c r="X12" s="65">
        <f>+V12-W12</f>
        <v>5950.949999999998</v>
      </c>
      <c r="Y12" s="65">
        <f>+$P12/5</f>
        <v>5950.95</v>
      </c>
      <c r="Z12" s="65">
        <f>+X12-Y12</f>
        <v>0</v>
      </c>
    </row>
    <row r="13" spans="1:26">
      <c r="A13" s="6">
        <f>+A12+1</f>
        <v>2</v>
      </c>
      <c r="B13" s="64" t="s">
        <v>724</v>
      </c>
      <c r="C13" s="69">
        <v>4709475</v>
      </c>
      <c r="D13" s="65">
        <f t="shared" ref="D13:D23" si="0">+C13*$I$80</f>
        <v>2825685</v>
      </c>
      <c r="E13" s="65">
        <f t="shared" ref="E13:E23" si="1">+C13-D13</f>
        <v>1883790</v>
      </c>
      <c r="F13" s="69">
        <v>0</v>
      </c>
      <c r="G13" s="70">
        <v>1883790</v>
      </c>
      <c r="H13" s="67">
        <v>0.14549999999999999</v>
      </c>
      <c r="I13" s="65">
        <f t="shared" ref="I13:I22" si="2">+G13*H13</f>
        <v>274091.44500000001</v>
      </c>
      <c r="J13" s="71" t="s">
        <v>911</v>
      </c>
      <c r="K13" s="70">
        <v>0</v>
      </c>
      <c r="L13" s="19">
        <f t="shared" ref="L13:L23" si="3">+I13-K13</f>
        <v>274091.44500000001</v>
      </c>
      <c r="M13" s="65">
        <f t="shared" ref="M13:M23" si="4">+I13/10</f>
        <v>27409.144500000002</v>
      </c>
      <c r="N13" s="19">
        <f t="shared" ref="N13:N23" si="5">+L13-M13</f>
        <v>246682.30050000001</v>
      </c>
      <c r="O13" s="65">
        <f t="shared" ref="O13:O23" si="6">+I13/10</f>
        <v>27409.144500000002</v>
      </c>
      <c r="P13" s="19">
        <f t="shared" ref="P13:P23" si="7">+N13-O13</f>
        <v>219273.15600000002</v>
      </c>
      <c r="Q13" s="65">
        <f>+P13/5</f>
        <v>43854.631200000003</v>
      </c>
      <c r="R13" s="19">
        <f t="shared" ref="R13:R23" si="8">+P13-Q13</f>
        <v>175418.52480000001</v>
      </c>
      <c r="S13" s="65">
        <f t="shared" ref="S13:Y23" si="9">+$P13/5</f>
        <v>43854.631200000003</v>
      </c>
      <c r="T13" s="19">
        <f t="shared" ref="T13:T23" si="10">+R13-S13</f>
        <v>131563.89360000001</v>
      </c>
      <c r="U13" s="65">
        <f t="shared" si="9"/>
        <v>43854.631200000003</v>
      </c>
      <c r="V13" s="19">
        <f t="shared" ref="V13:V23" si="11">+T13-U13</f>
        <v>87709.262400000007</v>
      </c>
      <c r="W13" s="65">
        <f t="shared" si="9"/>
        <v>43854.631200000003</v>
      </c>
      <c r="X13" s="19">
        <f t="shared" ref="X13:X23" si="12">+V13-W13</f>
        <v>43854.631200000003</v>
      </c>
      <c r="Y13" s="65">
        <f t="shared" si="9"/>
        <v>43854.631200000003</v>
      </c>
      <c r="Z13" s="19">
        <f t="shared" ref="Z13:Z23" si="13">+X13-Y13</f>
        <v>0</v>
      </c>
    </row>
    <row r="14" spans="1:26">
      <c r="A14" s="6">
        <f t="shared" ref="A14:A23" si="14">+A13+1</f>
        <v>3</v>
      </c>
      <c r="B14" s="64" t="s">
        <v>725</v>
      </c>
      <c r="C14" s="69">
        <v>936285</v>
      </c>
      <c r="D14" s="65">
        <f t="shared" si="0"/>
        <v>561771</v>
      </c>
      <c r="E14" s="65">
        <f t="shared" si="1"/>
        <v>374514</v>
      </c>
      <c r="F14" s="69">
        <v>0</v>
      </c>
      <c r="G14" s="70">
        <v>374514</v>
      </c>
      <c r="H14" s="67">
        <v>0.14549999999999999</v>
      </c>
      <c r="I14" s="65">
        <f t="shared" si="2"/>
        <v>54491.786999999997</v>
      </c>
      <c r="J14" s="68" t="s">
        <v>911</v>
      </c>
      <c r="K14" s="70">
        <v>0</v>
      </c>
      <c r="L14" s="19">
        <f t="shared" si="3"/>
        <v>54491.786999999997</v>
      </c>
      <c r="M14" s="65">
        <f t="shared" si="4"/>
        <v>5449.1786999999995</v>
      </c>
      <c r="N14" s="19">
        <f t="shared" si="5"/>
        <v>49042.6083</v>
      </c>
      <c r="O14" s="65">
        <f t="shared" si="6"/>
        <v>5449.1786999999995</v>
      </c>
      <c r="P14" s="19">
        <f t="shared" si="7"/>
        <v>43593.429600000003</v>
      </c>
      <c r="Q14" s="65">
        <f t="shared" ref="Q14:Q23" si="15">+P14/5</f>
        <v>8718.6859199999999</v>
      </c>
      <c r="R14" s="19">
        <f t="shared" si="8"/>
        <v>34874.74368</v>
      </c>
      <c r="S14" s="65">
        <f t="shared" si="9"/>
        <v>8718.6859199999999</v>
      </c>
      <c r="T14" s="19">
        <f t="shared" si="10"/>
        <v>26156.05776</v>
      </c>
      <c r="U14" s="65">
        <f t="shared" si="9"/>
        <v>8718.6859199999999</v>
      </c>
      <c r="V14" s="19">
        <f t="shared" si="11"/>
        <v>17437.37184</v>
      </c>
      <c r="W14" s="65">
        <f t="shared" si="9"/>
        <v>8718.6859199999999</v>
      </c>
      <c r="X14" s="19">
        <f t="shared" si="12"/>
        <v>8718.6859199999999</v>
      </c>
      <c r="Y14" s="65">
        <f t="shared" si="9"/>
        <v>8718.6859199999999</v>
      </c>
      <c r="Z14" s="19">
        <f t="shared" si="13"/>
        <v>0</v>
      </c>
    </row>
    <row r="15" spans="1:26">
      <c r="A15" s="6">
        <f t="shared" si="14"/>
        <v>4</v>
      </c>
      <c r="B15" s="64" t="s">
        <v>726</v>
      </c>
      <c r="C15" s="69">
        <v>-1766545</v>
      </c>
      <c r="D15" s="65">
        <f t="shared" si="0"/>
        <v>-1059927</v>
      </c>
      <c r="E15" s="65">
        <f t="shared" si="1"/>
        <v>-706618</v>
      </c>
      <c r="F15" s="69">
        <v>0</v>
      </c>
      <c r="G15" s="70">
        <v>-706618</v>
      </c>
      <c r="H15" s="67">
        <v>0.14549999999999999</v>
      </c>
      <c r="I15" s="65">
        <f t="shared" si="2"/>
        <v>-102812.91899999999</v>
      </c>
      <c r="J15" s="71" t="s">
        <v>911</v>
      </c>
      <c r="K15" s="70">
        <v>0</v>
      </c>
      <c r="L15" s="19">
        <f t="shared" si="3"/>
        <v>-102812.91899999999</v>
      </c>
      <c r="M15" s="65">
        <f t="shared" si="4"/>
        <v>-10281.2919</v>
      </c>
      <c r="N15" s="19">
        <f t="shared" si="5"/>
        <v>-92531.627099999998</v>
      </c>
      <c r="O15" s="65">
        <f t="shared" si="6"/>
        <v>-10281.2919</v>
      </c>
      <c r="P15" s="19">
        <f t="shared" si="7"/>
        <v>-82250.335200000001</v>
      </c>
      <c r="Q15" s="65">
        <f t="shared" si="15"/>
        <v>-16450.067040000002</v>
      </c>
      <c r="R15" s="19">
        <f t="shared" si="8"/>
        <v>-65800.268160000007</v>
      </c>
      <c r="S15" s="65">
        <f t="shared" si="9"/>
        <v>-16450.067040000002</v>
      </c>
      <c r="T15" s="19">
        <f t="shared" si="10"/>
        <v>-49350.201120000005</v>
      </c>
      <c r="U15" s="65">
        <f t="shared" si="9"/>
        <v>-16450.067040000002</v>
      </c>
      <c r="V15" s="19">
        <f t="shared" si="11"/>
        <v>-32900.134080000003</v>
      </c>
      <c r="W15" s="65">
        <f t="shared" si="9"/>
        <v>-16450.067040000002</v>
      </c>
      <c r="X15" s="19">
        <f t="shared" si="12"/>
        <v>-16450.067040000002</v>
      </c>
      <c r="Y15" s="65">
        <f t="shared" si="9"/>
        <v>-16450.067040000002</v>
      </c>
      <c r="Z15" s="19">
        <f t="shared" si="13"/>
        <v>0</v>
      </c>
    </row>
    <row r="16" spans="1:26">
      <c r="A16" s="6">
        <f t="shared" si="14"/>
        <v>5</v>
      </c>
      <c r="B16" s="64" t="s">
        <v>727</v>
      </c>
      <c r="C16" s="69">
        <v>1458445</v>
      </c>
      <c r="D16" s="65">
        <f t="shared" si="0"/>
        <v>875067</v>
      </c>
      <c r="E16" s="65">
        <f t="shared" si="1"/>
        <v>583378</v>
      </c>
      <c r="F16" s="69">
        <v>0</v>
      </c>
      <c r="G16" s="70">
        <v>583378</v>
      </c>
      <c r="H16" s="67">
        <v>0.14549999999999999</v>
      </c>
      <c r="I16" s="65">
        <f t="shared" si="2"/>
        <v>84881.498999999996</v>
      </c>
      <c r="J16" s="68" t="s">
        <v>911</v>
      </c>
      <c r="K16" s="70">
        <v>0</v>
      </c>
      <c r="L16" s="19">
        <f t="shared" si="3"/>
        <v>84881.498999999996</v>
      </c>
      <c r="M16" s="65">
        <f t="shared" si="4"/>
        <v>8488.1499000000003</v>
      </c>
      <c r="N16" s="19">
        <f t="shared" si="5"/>
        <v>76393.349099999992</v>
      </c>
      <c r="O16" s="65">
        <f t="shared" si="6"/>
        <v>8488.1499000000003</v>
      </c>
      <c r="P16" s="19">
        <f t="shared" si="7"/>
        <v>67905.199199999988</v>
      </c>
      <c r="Q16" s="65">
        <f t="shared" si="15"/>
        <v>13581.039839999998</v>
      </c>
      <c r="R16" s="19">
        <f t="shared" si="8"/>
        <v>54324.159359999991</v>
      </c>
      <c r="S16" s="65">
        <f t="shared" si="9"/>
        <v>13581.039839999998</v>
      </c>
      <c r="T16" s="19">
        <f t="shared" si="10"/>
        <v>40743.119519999993</v>
      </c>
      <c r="U16" s="65">
        <f t="shared" si="9"/>
        <v>13581.039839999998</v>
      </c>
      <c r="V16" s="19">
        <f t="shared" si="11"/>
        <v>27162.079679999995</v>
      </c>
      <c r="W16" s="65">
        <f t="shared" si="9"/>
        <v>13581.039839999998</v>
      </c>
      <c r="X16" s="19">
        <f t="shared" si="12"/>
        <v>13581.039839999998</v>
      </c>
      <c r="Y16" s="65">
        <f t="shared" si="9"/>
        <v>13581.039839999998</v>
      </c>
      <c r="Z16" s="19">
        <f t="shared" si="13"/>
        <v>0</v>
      </c>
    </row>
    <row r="17" spans="1:26">
      <c r="A17" s="6">
        <f t="shared" si="14"/>
        <v>6</v>
      </c>
      <c r="B17" s="64" t="s">
        <v>728</v>
      </c>
      <c r="C17" s="69">
        <v>937980</v>
      </c>
      <c r="D17" s="65">
        <f t="shared" si="0"/>
        <v>562788</v>
      </c>
      <c r="E17" s="65">
        <f t="shared" si="1"/>
        <v>375192</v>
      </c>
      <c r="F17" s="69">
        <v>0</v>
      </c>
      <c r="G17" s="70">
        <v>375192</v>
      </c>
      <c r="H17" s="67">
        <v>0.14549999999999999</v>
      </c>
      <c r="I17" s="65">
        <f t="shared" si="2"/>
        <v>54590.435999999994</v>
      </c>
      <c r="J17" s="71" t="s">
        <v>911</v>
      </c>
      <c r="K17" s="70">
        <v>0</v>
      </c>
      <c r="L17" s="19">
        <f t="shared" si="3"/>
        <v>54590.435999999994</v>
      </c>
      <c r="M17" s="65">
        <f t="shared" si="4"/>
        <v>5459.0435999999991</v>
      </c>
      <c r="N17" s="19">
        <f t="shared" si="5"/>
        <v>49131.392399999997</v>
      </c>
      <c r="O17" s="65">
        <f t="shared" si="6"/>
        <v>5459.0435999999991</v>
      </c>
      <c r="P17" s="19">
        <f t="shared" si="7"/>
        <v>43672.3488</v>
      </c>
      <c r="Q17" s="65">
        <f t="shared" si="15"/>
        <v>8734.46976</v>
      </c>
      <c r="R17" s="19">
        <f t="shared" si="8"/>
        <v>34937.87904</v>
      </c>
      <c r="S17" s="65">
        <f t="shared" si="9"/>
        <v>8734.46976</v>
      </c>
      <c r="T17" s="19">
        <f t="shared" si="10"/>
        <v>26203.40928</v>
      </c>
      <c r="U17" s="65">
        <f t="shared" si="9"/>
        <v>8734.46976</v>
      </c>
      <c r="V17" s="19">
        <f t="shared" si="11"/>
        <v>17468.93952</v>
      </c>
      <c r="W17" s="65">
        <f t="shared" si="9"/>
        <v>8734.46976</v>
      </c>
      <c r="X17" s="19">
        <f t="shared" si="12"/>
        <v>8734.46976</v>
      </c>
      <c r="Y17" s="65">
        <f t="shared" si="9"/>
        <v>8734.46976</v>
      </c>
      <c r="Z17" s="19">
        <f t="shared" si="13"/>
        <v>0</v>
      </c>
    </row>
    <row r="18" spans="1:26">
      <c r="A18" s="6">
        <f t="shared" si="14"/>
        <v>7</v>
      </c>
      <c r="B18" s="64" t="s">
        <v>729</v>
      </c>
      <c r="C18" s="69">
        <v>1166550</v>
      </c>
      <c r="D18" s="65">
        <f t="shared" si="0"/>
        <v>699930</v>
      </c>
      <c r="E18" s="65">
        <f t="shared" si="1"/>
        <v>466620</v>
      </c>
      <c r="F18" s="69">
        <v>0</v>
      </c>
      <c r="G18" s="70">
        <v>466620</v>
      </c>
      <c r="H18" s="67">
        <v>0.14549999999999999</v>
      </c>
      <c r="I18" s="65">
        <f t="shared" si="2"/>
        <v>67893.209999999992</v>
      </c>
      <c r="J18" s="68" t="s">
        <v>911</v>
      </c>
      <c r="K18" s="70">
        <v>0</v>
      </c>
      <c r="L18" s="19">
        <f t="shared" si="3"/>
        <v>67893.209999999992</v>
      </c>
      <c r="M18" s="65">
        <f t="shared" si="4"/>
        <v>6789.320999999999</v>
      </c>
      <c r="N18" s="19">
        <f t="shared" si="5"/>
        <v>61103.888999999996</v>
      </c>
      <c r="O18" s="65">
        <f t="shared" si="6"/>
        <v>6789.320999999999</v>
      </c>
      <c r="P18" s="19">
        <f t="shared" si="7"/>
        <v>54314.567999999999</v>
      </c>
      <c r="Q18" s="65">
        <f t="shared" si="15"/>
        <v>10862.9136</v>
      </c>
      <c r="R18" s="19">
        <f t="shared" si="8"/>
        <v>43451.654399999999</v>
      </c>
      <c r="S18" s="65">
        <f t="shared" si="9"/>
        <v>10862.9136</v>
      </c>
      <c r="T18" s="19">
        <f t="shared" si="10"/>
        <v>32588.7408</v>
      </c>
      <c r="U18" s="65">
        <f t="shared" si="9"/>
        <v>10862.9136</v>
      </c>
      <c r="V18" s="19">
        <f t="shared" si="11"/>
        <v>21725.8272</v>
      </c>
      <c r="W18" s="65">
        <f t="shared" si="9"/>
        <v>10862.9136</v>
      </c>
      <c r="X18" s="19">
        <f t="shared" si="12"/>
        <v>10862.9136</v>
      </c>
      <c r="Y18" s="65">
        <f t="shared" si="9"/>
        <v>10862.9136</v>
      </c>
      <c r="Z18" s="19">
        <f t="shared" si="13"/>
        <v>0</v>
      </c>
    </row>
    <row r="19" spans="1:26">
      <c r="A19" s="6">
        <f t="shared" si="14"/>
        <v>8</v>
      </c>
      <c r="B19" s="64" t="s">
        <v>730</v>
      </c>
      <c r="C19" s="69">
        <v>369007.5</v>
      </c>
      <c r="D19" s="65">
        <f t="shared" si="0"/>
        <v>221404.5</v>
      </c>
      <c r="E19" s="65">
        <f t="shared" si="1"/>
        <v>147603</v>
      </c>
      <c r="F19" s="69">
        <v>0</v>
      </c>
      <c r="G19" s="70">
        <v>147603</v>
      </c>
      <c r="H19" s="67">
        <v>0.14180000000000001</v>
      </c>
      <c r="I19" s="65">
        <f t="shared" si="2"/>
        <v>20930.1054</v>
      </c>
      <c r="J19" s="71" t="s">
        <v>911</v>
      </c>
      <c r="K19" s="70">
        <v>0</v>
      </c>
      <c r="L19" s="19">
        <f t="shared" si="3"/>
        <v>20930.1054</v>
      </c>
      <c r="M19" s="65">
        <f t="shared" si="4"/>
        <v>2093.0105400000002</v>
      </c>
      <c r="N19" s="19">
        <f t="shared" si="5"/>
        <v>18837.094860000001</v>
      </c>
      <c r="O19" s="65">
        <f t="shared" si="6"/>
        <v>2093.0105400000002</v>
      </c>
      <c r="P19" s="19">
        <f t="shared" si="7"/>
        <v>16744.084320000002</v>
      </c>
      <c r="Q19" s="65">
        <f t="shared" si="15"/>
        <v>3348.8168640000004</v>
      </c>
      <c r="R19" s="19">
        <f t="shared" si="8"/>
        <v>13395.267456000001</v>
      </c>
      <c r="S19" s="65">
        <f t="shared" si="9"/>
        <v>3348.8168640000004</v>
      </c>
      <c r="T19" s="19">
        <f t="shared" si="10"/>
        <v>10046.450592000001</v>
      </c>
      <c r="U19" s="65">
        <f t="shared" si="9"/>
        <v>3348.8168640000004</v>
      </c>
      <c r="V19" s="19">
        <f t="shared" si="11"/>
        <v>6697.6337280000007</v>
      </c>
      <c r="W19" s="65">
        <f t="shared" si="9"/>
        <v>3348.8168640000004</v>
      </c>
      <c r="X19" s="19">
        <f t="shared" si="12"/>
        <v>3348.8168640000004</v>
      </c>
      <c r="Y19" s="65">
        <f t="shared" si="9"/>
        <v>3348.8168640000004</v>
      </c>
      <c r="Z19" s="19">
        <f t="shared" si="13"/>
        <v>0</v>
      </c>
    </row>
    <row r="20" spans="1:26">
      <c r="A20" s="6">
        <f t="shared" si="14"/>
        <v>9</v>
      </c>
      <c r="B20" s="64" t="s">
        <v>731</v>
      </c>
      <c r="C20" s="69">
        <v>0</v>
      </c>
      <c r="D20" s="65">
        <f t="shared" si="0"/>
        <v>0</v>
      </c>
      <c r="E20" s="65">
        <f t="shared" si="1"/>
        <v>0</v>
      </c>
      <c r="F20" s="69">
        <v>0</v>
      </c>
      <c r="G20" s="70">
        <v>0</v>
      </c>
      <c r="H20" s="67">
        <v>0</v>
      </c>
      <c r="I20" s="65">
        <f t="shared" si="2"/>
        <v>0</v>
      </c>
      <c r="J20" s="68" t="s">
        <v>911</v>
      </c>
      <c r="K20" s="70">
        <v>0</v>
      </c>
      <c r="L20" s="19">
        <f t="shared" si="3"/>
        <v>0</v>
      </c>
      <c r="M20" s="65">
        <f t="shared" si="4"/>
        <v>0</v>
      </c>
      <c r="N20" s="19">
        <f t="shared" si="5"/>
        <v>0</v>
      </c>
      <c r="O20" s="65">
        <f t="shared" si="6"/>
        <v>0</v>
      </c>
      <c r="P20" s="19">
        <f t="shared" si="7"/>
        <v>0</v>
      </c>
      <c r="Q20" s="65">
        <f t="shared" si="15"/>
        <v>0</v>
      </c>
      <c r="R20" s="19">
        <f t="shared" si="8"/>
        <v>0</v>
      </c>
      <c r="S20" s="65">
        <f t="shared" si="9"/>
        <v>0</v>
      </c>
      <c r="T20" s="19">
        <f t="shared" si="10"/>
        <v>0</v>
      </c>
      <c r="U20" s="65">
        <f t="shared" si="9"/>
        <v>0</v>
      </c>
      <c r="V20" s="19">
        <f t="shared" si="11"/>
        <v>0</v>
      </c>
      <c r="W20" s="65">
        <f t="shared" si="9"/>
        <v>0</v>
      </c>
      <c r="X20" s="19">
        <f t="shared" si="12"/>
        <v>0</v>
      </c>
      <c r="Y20" s="65">
        <f t="shared" si="9"/>
        <v>0</v>
      </c>
      <c r="Z20" s="19">
        <f t="shared" si="13"/>
        <v>0</v>
      </c>
    </row>
    <row r="21" spans="1:26" ht="17.45" customHeight="1">
      <c r="A21" s="6">
        <f t="shared" si="14"/>
        <v>10</v>
      </c>
      <c r="B21" s="64" t="s">
        <v>732</v>
      </c>
      <c r="C21" s="69">
        <v>1288335</v>
      </c>
      <c r="D21" s="65">
        <f t="shared" si="0"/>
        <v>773001</v>
      </c>
      <c r="E21" s="65">
        <f t="shared" si="1"/>
        <v>515334</v>
      </c>
      <c r="F21" s="69">
        <v>0</v>
      </c>
      <c r="G21" s="70">
        <v>515334</v>
      </c>
      <c r="H21" s="67">
        <v>0</v>
      </c>
      <c r="I21" s="65">
        <f t="shared" si="2"/>
        <v>0</v>
      </c>
      <c r="J21" s="71" t="s">
        <v>911</v>
      </c>
      <c r="K21" s="70">
        <v>0</v>
      </c>
      <c r="L21" s="19">
        <f t="shared" si="3"/>
        <v>0</v>
      </c>
      <c r="M21" s="65">
        <f t="shared" si="4"/>
        <v>0</v>
      </c>
      <c r="N21" s="19">
        <f t="shared" si="5"/>
        <v>0</v>
      </c>
      <c r="O21" s="65">
        <f t="shared" si="6"/>
        <v>0</v>
      </c>
      <c r="P21" s="19">
        <f t="shared" si="7"/>
        <v>0</v>
      </c>
      <c r="Q21" s="65">
        <f t="shared" si="15"/>
        <v>0</v>
      </c>
      <c r="R21" s="19">
        <f t="shared" si="8"/>
        <v>0</v>
      </c>
      <c r="S21" s="65">
        <f t="shared" si="9"/>
        <v>0</v>
      </c>
      <c r="T21" s="19">
        <f t="shared" si="10"/>
        <v>0</v>
      </c>
      <c r="U21" s="65">
        <f t="shared" si="9"/>
        <v>0</v>
      </c>
      <c r="V21" s="19">
        <f t="shared" si="11"/>
        <v>0</v>
      </c>
      <c r="W21" s="65">
        <f t="shared" si="9"/>
        <v>0</v>
      </c>
      <c r="X21" s="19">
        <f t="shared" si="12"/>
        <v>0</v>
      </c>
      <c r="Y21" s="65">
        <f t="shared" si="9"/>
        <v>0</v>
      </c>
      <c r="Z21" s="19">
        <f t="shared" si="13"/>
        <v>0</v>
      </c>
    </row>
    <row r="22" spans="1:26">
      <c r="A22" s="6">
        <f t="shared" si="14"/>
        <v>11</v>
      </c>
      <c r="B22" s="64" t="s">
        <v>733</v>
      </c>
      <c r="C22" s="69">
        <v>-224000</v>
      </c>
      <c r="D22" s="65">
        <f t="shared" si="0"/>
        <v>-134400</v>
      </c>
      <c r="E22" s="65">
        <f t="shared" si="1"/>
        <v>-89600</v>
      </c>
      <c r="F22" s="69">
        <v>0</v>
      </c>
      <c r="G22" s="70">
        <v>-89600</v>
      </c>
      <c r="H22" s="67">
        <v>0.14549999999999999</v>
      </c>
      <c r="I22" s="65">
        <f t="shared" si="2"/>
        <v>-13036.8</v>
      </c>
      <c r="J22" s="68" t="s">
        <v>911</v>
      </c>
      <c r="K22" s="70">
        <v>0</v>
      </c>
      <c r="L22" s="19">
        <f t="shared" si="3"/>
        <v>-13036.8</v>
      </c>
      <c r="M22" s="65">
        <f t="shared" si="4"/>
        <v>-1303.6799999999998</v>
      </c>
      <c r="N22" s="19">
        <f t="shared" si="5"/>
        <v>-11733.119999999999</v>
      </c>
      <c r="O22" s="65">
        <f t="shared" si="6"/>
        <v>-1303.6799999999998</v>
      </c>
      <c r="P22" s="19">
        <f t="shared" si="7"/>
        <v>-10429.439999999999</v>
      </c>
      <c r="Q22" s="65">
        <f t="shared" si="15"/>
        <v>-2085.8879999999999</v>
      </c>
      <c r="R22" s="19">
        <f t="shared" si="8"/>
        <v>-8343.5519999999997</v>
      </c>
      <c r="S22" s="65">
        <f t="shared" si="9"/>
        <v>-2085.8879999999999</v>
      </c>
      <c r="T22" s="19">
        <f t="shared" si="10"/>
        <v>-6257.6639999999998</v>
      </c>
      <c r="U22" s="65">
        <f t="shared" si="9"/>
        <v>-2085.8879999999999</v>
      </c>
      <c r="V22" s="19">
        <f t="shared" si="11"/>
        <v>-4171.7759999999998</v>
      </c>
      <c r="W22" s="65">
        <f t="shared" si="9"/>
        <v>-2085.8879999999999</v>
      </c>
      <c r="X22" s="19">
        <f t="shared" si="12"/>
        <v>-2085.8879999999999</v>
      </c>
      <c r="Y22" s="65">
        <f t="shared" si="9"/>
        <v>-2085.8879999999999</v>
      </c>
      <c r="Z22" s="19">
        <f t="shared" si="13"/>
        <v>0</v>
      </c>
    </row>
    <row r="23" spans="1:26">
      <c r="A23" s="6">
        <f t="shared" si="14"/>
        <v>12</v>
      </c>
      <c r="B23" s="64" t="s">
        <v>734</v>
      </c>
      <c r="C23" s="73">
        <v>245590</v>
      </c>
      <c r="D23" s="72">
        <f t="shared" si="0"/>
        <v>147354</v>
      </c>
      <c r="E23" s="72">
        <f t="shared" si="1"/>
        <v>98236</v>
      </c>
      <c r="F23" s="73">
        <v>0</v>
      </c>
      <c r="G23" s="74">
        <v>98236</v>
      </c>
      <c r="H23" s="67" t="s">
        <v>735</v>
      </c>
      <c r="I23" s="73">
        <v>15523</v>
      </c>
      <c r="J23" s="71" t="s">
        <v>911</v>
      </c>
      <c r="K23" s="74">
        <v>0</v>
      </c>
      <c r="L23" s="75">
        <f t="shared" si="3"/>
        <v>15523</v>
      </c>
      <c r="M23" s="72">
        <f t="shared" si="4"/>
        <v>1552.3</v>
      </c>
      <c r="N23" s="75">
        <f t="shared" si="5"/>
        <v>13970.7</v>
      </c>
      <c r="O23" s="72">
        <f t="shared" si="6"/>
        <v>1552.3</v>
      </c>
      <c r="P23" s="75">
        <f t="shared" si="7"/>
        <v>12418.400000000001</v>
      </c>
      <c r="Q23" s="72">
        <f t="shared" si="15"/>
        <v>2483.6800000000003</v>
      </c>
      <c r="R23" s="75">
        <f t="shared" si="8"/>
        <v>9934.7200000000012</v>
      </c>
      <c r="S23" s="72">
        <f t="shared" si="9"/>
        <v>2483.6800000000003</v>
      </c>
      <c r="T23" s="75">
        <f t="shared" si="10"/>
        <v>7451.0400000000009</v>
      </c>
      <c r="U23" s="72">
        <f t="shared" si="9"/>
        <v>2483.6800000000003</v>
      </c>
      <c r="V23" s="75">
        <f t="shared" si="11"/>
        <v>4967.3600000000006</v>
      </c>
      <c r="W23" s="72">
        <f t="shared" si="9"/>
        <v>2483.6800000000003</v>
      </c>
      <c r="X23" s="75">
        <f t="shared" si="12"/>
        <v>2483.6800000000003</v>
      </c>
      <c r="Y23" s="72">
        <f t="shared" si="9"/>
        <v>2483.6800000000003</v>
      </c>
      <c r="Z23" s="75">
        <f t="shared" si="13"/>
        <v>0</v>
      </c>
    </row>
    <row r="24" spans="1:26">
      <c r="A24" s="6">
        <f>+A23+1</f>
        <v>13</v>
      </c>
      <c r="B24" s="76" t="s">
        <v>912</v>
      </c>
      <c r="C24" s="77">
        <f>+SUM(C12:C23)</f>
        <v>9760185</v>
      </c>
      <c r="D24" s="77">
        <f>+SUM(D12:D23)</f>
        <v>5856111</v>
      </c>
      <c r="E24" s="77">
        <f>+SUM(E12:E23)</f>
        <v>3904074</v>
      </c>
      <c r="F24" s="77">
        <f>+SUM(F12:F23)</f>
        <v>0</v>
      </c>
      <c r="G24" s="77">
        <f>+SUM(G12:G23)</f>
        <v>3904074</v>
      </c>
      <c r="H24" s="78"/>
      <c r="I24" s="77">
        <f t="shared" ref="I24:Z24" si="16">+SUM(I12:I23)</f>
        <v>493745.2009</v>
      </c>
      <c r="J24" s="77"/>
      <c r="K24" s="77">
        <f t="shared" si="16"/>
        <v>0</v>
      </c>
      <c r="L24" s="77">
        <f t="shared" si="16"/>
        <v>493745.2009</v>
      </c>
      <c r="M24" s="77">
        <f t="shared" si="16"/>
        <v>49374.520089999998</v>
      </c>
      <c r="N24" s="77">
        <f t="shared" si="16"/>
        <v>444370.68081000005</v>
      </c>
      <c r="O24" s="70">
        <f t="shared" si="16"/>
        <v>49374.520089999998</v>
      </c>
      <c r="P24" s="77">
        <f t="shared" si="16"/>
        <v>394996.16071999999</v>
      </c>
      <c r="Q24" s="70">
        <f t="shared" si="16"/>
        <v>78999.23214399998</v>
      </c>
      <c r="R24" s="77">
        <f t="shared" si="16"/>
        <v>315996.92857599992</v>
      </c>
      <c r="S24" s="70">
        <f t="shared" si="16"/>
        <v>78999.23214399998</v>
      </c>
      <c r="T24" s="77">
        <f t="shared" si="16"/>
        <v>236997.69643200003</v>
      </c>
      <c r="U24" s="70">
        <f t="shared" si="16"/>
        <v>78999.23214399998</v>
      </c>
      <c r="V24" s="77">
        <f t="shared" si="16"/>
        <v>157998.46428799996</v>
      </c>
      <c r="W24" s="70">
        <f t="shared" si="16"/>
        <v>78999.23214399998</v>
      </c>
      <c r="X24" s="77">
        <f t="shared" si="16"/>
        <v>78999.23214399998</v>
      </c>
      <c r="Y24" s="70">
        <f t="shared" si="16"/>
        <v>78999.23214399998</v>
      </c>
      <c r="Z24" s="77">
        <f t="shared" si="16"/>
        <v>0</v>
      </c>
    </row>
    <row r="25" spans="1:26" ht="16.5">
      <c r="B25" s="79"/>
      <c r="C25" s="80"/>
      <c r="D25" s="80"/>
      <c r="E25" s="80"/>
      <c r="F25" s="80"/>
      <c r="G25" s="80"/>
      <c r="H25" s="78"/>
      <c r="I25" s="81"/>
      <c r="J25" s="81"/>
      <c r="K25" s="81"/>
      <c r="L25" s="81"/>
      <c r="M25" s="81"/>
      <c r="N25" s="81"/>
      <c r="O25" s="74"/>
      <c r="P25" s="81"/>
      <c r="Q25" s="74"/>
      <c r="R25" s="81"/>
      <c r="S25" s="74"/>
      <c r="T25" s="81"/>
      <c r="U25" s="74"/>
      <c r="V25" s="81"/>
      <c r="W25" s="74"/>
      <c r="X25" s="81"/>
      <c r="Y25" s="74"/>
      <c r="Z25" s="81"/>
    </row>
    <row r="26" spans="1:26" ht="16.5">
      <c r="B26" s="76" t="s">
        <v>913</v>
      </c>
      <c r="C26" s="80"/>
      <c r="D26" s="80"/>
      <c r="E26" s="80"/>
      <c r="F26" s="80"/>
      <c r="G26" s="80"/>
      <c r="H26" s="78"/>
      <c r="I26" s="81"/>
      <c r="J26" s="81"/>
      <c r="K26" s="81"/>
      <c r="L26" s="81"/>
      <c r="M26" s="81"/>
      <c r="N26" s="81"/>
      <c r="O26" s="74"/>
      <c r="P26" s="81"/>
      <c r="Q26" s="74"/>
      <c r="R26" s="81"/>
      <c r="S26" s="74"/>
      <c r="T26" s="81"/>
      <c r="U26" s="74"/>
      <c r="V26" s="81"/>
      <c r="W26" s="74"/>
      <c r="X26" s="81"/>
      <c r="Y26" s="74"/>
      <c r="Z26" s="81"/>
    </row>
    <row r="27" spans="1:26">
      <c r="A27" s="6">
        <f>+A24+1</f>
        <v>14</v>
      </c>
      <c r="B27" s="82" t="s">
        <v>914</v>
      </c>
      <c r="C27" s="69">
        <v>0</v>
      </c>
      <c r="D27" s="65">
        <f t="shared" ref="D27:D28" si="17">+C27*$I$80</f>
        <v>0</v>
      </c>
      <c r="E27" s="65">
        <f t="shared" ref="E27:E28" si="18">+C27-D27</f>
        <v>0</v>
      </c>
      <c r="F27" s="69">
        <v>0</v>
      </c>
      <c r="G27" s="65">
        <f t="shared" ref="G27:G28" si="19">+E27+F27</f>
        <v>0</v>
      </c>
      <c r="H27" s="83">
        <v>0</v>
      </c>
      <c r="I27" s="65">
        <f t="shared" ref="I27" si="20">+G27*H27</f>
        <v>0</v>
      </c>
      <c r="J27" s="69"/>
      <c r="K27" s="77">
        <v>0</v>
      </c>
      <c r="L27" s="19">
        <f>+I27-K27</f>
        <v>0</v>
      </c>
      <c r="M27" s="84">
        <v>0</v>
      </c>
      <c r="N27" s="19">
        <f>+K27-M27</f>
        <v>0</v>
      </c>
      <c r="O27" s="84">
        <v>0</v>
      </c>
      <c r="P27" s="19">
        <f>+M27-O27</f>
        <v>0</v>
      </c>
      <c r="Q27" s="84">
        <v>0</v>
      </c>
      <c r="R27" s="19">
        <f>+O27-Q27</f>
        <v>0</v>
      </c>
      <c r="S27" s="66">
        <v>0</v>
      </c>
      <c r="T27" s="19">
        <f>+Q27-S27</f>
        <v>0</v>
      </c>
      <c r="U27" s="66">
        <v>0</v>
      </c>
      <c r="V27" s="19">
        <f t="shared" ref="V27:V28" si="21">+T27-U27</f>
        <v>0</v>
      </c>
      <c r="W27" s="66">
        <v>0</v>
      </c>
      <c r="X27" s="19">
        <f>+U27-W27</f>
        <v>0</v>
      </c>
      <c r="Y27" s="65">
        <f t="shared" ref="Y27:Y28" si="22">+$P27/5</f>
        <v>0</v>
      </c>
      <c r="Z27" s="19">
        <f>+W27-Y27</f>
        <v>0</v>
      </c>
    </row>
    <row r="28" spans="1:26">
      <c r="A28" s="6">
        <f>+A27+1</f>
        <v>15</v>
      </c>
      <c r="B28" s="82" t="s">
        <v>914</v>
      </c>
      <c r="C28" s="73">
        <v>0</v>
      </c>
      <c r="D28" s="72">
        <f t="shared" si="17"/>
        <v>0</v>
      </c>
      <c r="E28" s="72">
        <f t="shared" si="18"/>
        <v>0</v>
      </c>
      <c r="F28" s="73">
        <v>0</v>
      </c>
      <c r="G28" s="72">
        <f t="shared" si="19"/>
        <v>0</v>
      </c>
      <c r="H28" s="85" t="s">
        <v>735</v>
      </c>
      <c r="I28" s="73">
        <v>0</v>
      </c>
      <c r="J28" s="69"/>
      <c r="K28" s="81">
        <v>0</v>
      </c>
      <c r="L28" s="75">
        <f>+I28-K28</f>
        <v>0</v>
      </c>
      <c r="M28" s="86">
        <v>0</v>
      </c>
      <c r="N28" s="75">
        <f>+K28-M28</f>
        <v>0</v>
      </c>
      <c r="O28" s="86">
        <v>0</v>
      </c>
      <c r="P28" s="75">
        <f>+M28-O28</f>
        <v>0</v>
      </c>
      <c r="Q28" s="86">
        <v>0</v>
      </c>
      <c r="R28" s="75">
        <f>+O28-Q28</f>
        <v>0</v>
      </c>
      <c r="S28" s="87">
        <v>0</v>
      </c>
      <c r="T28" s="75">
        <f>+Q28-S28</f>
        <v>0</v>
      </c>
      <c r="U28" s="87">
        <v>0</v>
      </c>
      <c r="V28" s="75">
        <f t="shared" si="21"/>
        <v>0</v>
      </c>
      <c r="W28" s="87">
        <v>0</v>
      </c>
      <c r="X28" s="75">
        <f>+U28-W28</f>
        <v>0</v>
      </c>
      <c r="Y28" s="72">
        <f t="shared" si="22"/>
        <v>0</v>
      </c>
      <c r="Z28" s="75">
        <f>+W28-Y28</f>
        <v>0</v>
      </c>
    </row>
    <row r="29" spans="1:26">
      <c r="A29" s="6">
        <f>+A28+1</f>
        <v>16</v>
      </c>
      <c r="B29" s="61" t="s">
        <v>915</v>
      </c>
      <c r="C29" s="77">
        <f>+C27+C28</f>
        <v>0</v>
      </c>
      <c r="D29" s="77">
        <f>+D27+D28</f>
        <v>0</v>
      </c>
      <c r="E29" s="77">
        <f>+E27+E28</f>
        <v>0</v>
      </c>
      <c r="F29" s="77">
        <f>+F27+F28</f>
        <v>0</v>
      </c>
      <c r="G29" s="77">
        <f>+G27+G28</f>
        <v>0</v>
      </c>
      <c r="H29" s="67"/>
      <c r="I29" s="77">
        <f>+I27+I28</f>
        <v>0</v>
      </c>
      <c r="J29" s="77"/>
      <c r="K29" s="77">
        <f t="shared" ref="K29:U29" si="23">+K27+K28</f>
        <v>0</v>
      </c>
      <c r="L29" s="19">
        <f t="shared" si="23"/>
        <v>0</v>
      </c>
      <c r="M29" s="19">
        <f t="shared" si="23"/>
        <v>0</v>
      </c>
      <c r="N29" s="19">
        <f t="shared" si="23"/>
        <v>0</v>
      </c>
      <c r="O29" s="19">
        <f t="shared" si="23"/>
        <v>0</v>
      </c>
      <c r="P29" s="19">
        <f t="shared" si="23"/>
        <v>0</v>
      </c>
      <c r="Q29" s="19">
        <f t="shared" si="23"/>
        <v>0</v>
      </c>
      <c r="R29" s="19">
        <f t="shared" si="23"/>
        <v>0</v>
      </c>
      <c r="S29" s="19">
        <f t="shared" si="23"/>
        <v>0</v>
      </c>
      <c r="T29" s="19">
        <f t="shared" si="23"/>
        <v>0</v>
      </c>
      <c r="U29" s="19">
        <f t="shared" si="23"/>
        <v>0</v>
      </c>
      <c r="V29" s="77">
        <f t="shared" ref="V29" si="24">+SUM(V17:V28)</f>
        <v>204686.44873599996</v>
      </c>
      <c r="W29" s="19">
        <f>+W27+W28</f>
        <v>0</v>
      </c>
      <c r="X29" s="19">
        <f>+X27+X28</f>
        <v>0</v>
      </c>
      <c r="Y29" s="19">
        <f>+Y27+Y28</f>
        <v>0</v>
      </c>
      <c r="Z29" s="19">
        <f>+Z27+Z28</f>
        <v>0</v>
      </c>
    </row>
    <row r="30" spans="1:26">
      <c r="B30" s="61"/>
      <c r="C30" s="77"/>
      <c r="D30" s="77"/>
      <c r="E30" s="77"/>
      <c r="F30" s="77"/>
      <c r="G30" s="77"/>
      <c r="H30" s="67"/>
      <c r="I30" s="77"/>
      <c r="J30" s="77"/>
      <c r="K30" s="77"/>
      <c r="L30" s="19"/>
      <c r="M30" s="19"/>
      <c r="N30" s="19"/>
      <c r="O30" s="19"/>
      <c r="P30" s="19"/>
      <c r="Q30" s="19"/>
      <c r="R30" s="19"/>
      <c r="S30" s="19"/>
      <c r="T30" s="19"/>
      <c r="U30" s="19"/>
      <c r="V30" s="19"/>
      <c r="W30" s="19"/>
      <c r="X30" s="19"/>
      <c r="Y30" s="19"/>
      <c r="Z30" s="19"/>
    </row>
    <row r="31" spans="1:26">
      <c r="B31" s="61" t="s">
        <v>916</v>
      </c>
      <c r="C31" s="77"/>
      <c r="D31" s="77"/>
      <c r="E31" s="77"/>
      <c r="F31" s="77"/>
      <c r="G31" s="77"/>
      <c r="H31" s="67"/>
      <c r="I31" s="77"/>
      <c r="J31" s="77"/>
      <c r="K31" s="77"/>
      <c r="L31" s="19"/>
      <c r="M31" s="19"/>
      <c r="N31" s="19"/>
      <c r="O31" s="19"/>
      <c r="P31" s="19"/>
      <c r="Q31" s="19"/>
      <c r="R31" s="19"/>
      <c r="S31" s="19"/>
      <c r="T31" s="19"/>
      <c r="U31" s="19"/>
      <c r="V31" s="19"/>
      <c r="W31" s="19"/>
      <c r="X31" s="19"/>
      <c r="Y31" s="19"/>
      <c r="Z31" s="19"/>
    </row>
    <row r="32" spans="1:26">
      <c r="A32" s="6">
        <f>+A29+1</f>
        <v>17</v>
      </c>
      <c r="B32" s="82" t="s">
        <v>914</v>
      </c>
      <c r="C32" s="69">
        <v>0</v>
      </c>
      <c r="D32" s="65">
        <f t="shared" ref="D32:D35" si="25">+C32*$I$80</f>
        <v>0</v>
      </c>
      <c r="E32" s="65">
        <f t="shared" ref="E32:E35" si="26">+C32-D32</f>
        <v>0</v>
      </c>
      <c r="F32" s="69">
        <v>0</v>
      </c>
      <c r="G32" s="70">
        <v>0</v>
      </c>
      <c r="H32" s="83">
        <v>0</v>
      </c>
      <c r="I32" s="65">
        <f t="shared" ref="I32:I34" si="27">+G32*H32</f>
        <v>0</v>
      </c>
      <c r="J32" s="69"/>
      <c r="K32" s="77">
        <v>0</v>
      </c>
      <c r="L32" s="19">
        <f t="shared" ref="L32:L35" si="28">+I32-K32</f>
        <v>0</v>
      </c>
      <c r="M32" s="84">
        <v>0</v>
      </c>
      <c r="N32" s="19">
        <f t="shared" ref="N32:N35" si="29">+L32-M32</f>
        <v>0</v>
      </c>
      <c r="O32" s="84">
        <v>0</v>
      </c>
      <c r="P32" s="19">
        <f t="shared" ref="P32:P35" si="30">+N32-O32</f>
        <v>0</v>
      </c>
      <c r="Q32" s="84">
        <v>0</v>
      </c>
      <c r="R32" s="19">
        <f t="shared" ref="R32:R35" si="31">+P32-Q32</f>
        <v>0</v>
      </c>
      <c r="S32" s="84">
        <v>0</v>
      </c>
      <c r="T32" s="19">
        <f t="shared" ref="T32:T35" si="32">+R32-S32</f>
        <v>0</v>
      </c>
      <c r="U32" s="84">
        <v>0</v>
      </c>
      <c r="V32" s="19">
        <f t="shared" ref="V32:V35" si="33">+T32-U32</f>
        <v>0</v>
      </c>
      <c r="W32" s="84">
        <v>0</v>
      </c>
      <c r="X32" s="19">
        <f t="shared" ref="X32:X35" si="34">+V32-W32</f>
        <v>0</v>
      </c>
      <c r="Y32" s="65">
        <f>+$P32/5</f>
        <v>0</v>
      </c>
      <c r="Z32" s="19">
        <f t="shared" ref="Z32:Z35" si="35">+X32-Y32</f>
        <v>0</v>
      </c>
    </row>
    <row r="33" spans="1:26">
      <c r="A33" s="6">
        <f>+A32+1</f>
        <v>18</v>
      </c>
      <c r="B33" s="82" t="s">
        <v>914</v>
      </c>
      <c r="C33" s="69">
        <v>0</v>
      </c>
      <c r="D33" s="65">
        <f t="shared" si="25"/>
        <v>0</v>
      </c>
      <c r="E33" s="65">
        <f t="shared" si="26"/>
        <v>0</v>
      </c>
      <c r="F33" s="69">
        <v>0</v>
      </c>
      <c r="G33" s="70">
        <v>0</v>
      </c>
      <c r="H33" s="83">
        <v>0</v>
      </c>
      <c r="I33" s="65">
        <f t="shared" si="27"/>
        <v>0</v>
      </c>
      <c r="J33" s="69"/>
      <c r="K33" s="77">
        <v>0</v>
      </c>
      <c r="L33" s="19">
        <f t="shared" si="28"/>
        <v>0</v>
      </c>
      <c r="M33" s="84">
        <v>0</v>
      </c>
      <c r="N33" s="19">
        <f t="shared" si="29"/>
        <v>0</v>
      </c>
      <c r="O33" s="84">
        <v>0</v>
      </c>
      <c r="P33" s="19">
        <f t="shared" si="30"/>
        <v>0</v>
      </c>
      <c r="Q33" s="84">
        <v>0</v>
      </c>
      <c r="R33" s="19">
        <f t="shared" si="31"/>
        <v>0</v>
      </c>
      <c r="S33" s="84">
        <v>0</v>
      </c>
      <c r="T33" s="19">
        <f t="shared" si="32"/>
        <v>0</v>
      </c>
      <c r="U33" s="84">
        <v>0</v>
      </c>
      <c r="V33" s="19">
        <f t="shared" si="33"/>
        <v>0</v>
      </c>
      <c r="W33" s="84">
        <v>0</v>
      </c>
      <c r="X33" s="19">
        <f t="shared" si="34"/>
        <v>0</v>
      </c>
      <c r="Y33" s="65">
        <f t="shared" ref="Y33:Y35" si="36">+$P33/5</f>
        <v>0</v>
      </c>
      <c r="Z33" s="19">
        <f t="shared" si="35"/>
        <v>0</v>
      </c>
    </row>
    <row r="34" spans="1:26">
      <c r="A34" s="6">
        <f>+A33+1</f>
        <v>19</v>
      </c>
      <c r="B34" s="82" t="s">
        <v>914</v>
      </c>
      <c r="C34" s="69">
        <v>0</v>
      </c>
      <c r="D34" s="65">
        <f t="shared" si="25"/>
        <v>0</v>
      </c>
      <c r="E34" s="65">
        <f t="shared" si="26"/>
        <v>0</v>
      </c>
      <c r="F34" s="69">
        <v>0</v>
      </c>
      <c r="G34" s="70">
        <v>0</v>
      </c>
      <c r="H34" s="83">
        <v>0</v>
      </c>
      <c r="I34" s="65">
        <f t="shared" si="27"/>
        <v>0</v>
      </c>
      <c r="J34" s="69"/>
      <c r="K34" s="77">
        <v>0</v>
      </c>
      <c r="L34" s="19">
        <f t="shared" si="28"/>
        <v>0</v>
      </c>
      <c r="M34" s="84">
        <v>0</v>
      </c>
      <c r="N34" s="19">
        <f t="shared" si="29"/>
        <v>0</v>
      </c>
      <c r="O34" s="84">
        <v>0</v>
      </c>
      <c r="P34" s="19">
        <f t="shared" si="30"/>
        <v>0</v>
      </c>
      <c r="Q34" s="84">
        <v>0</v>
      </c>
      <c r="R34" s="19">
        <f t="shared" si="31"/>
        <v>0</v>
      </c>
      <c r="S34" s="84">
        <v>0</v>
      </c>
      <c r="T34" s="19">
        <f t="shared" si="32"/>
        <v>0</v>
      </c>
      <c r="U34" s="84">
        <v>0</v>
      </c>
      <c r="V34" s="19">
        <f t="shared" si="33"/>
        <v>0</v>
      </c>
      <c r="W34" s="84">
        <v>0</v>
      </c>
      <c r="X34" s="19">
        <f t="shared" si="34"/>
        <v>0</v>
      </c>
      <c r="Y34" s="65">
        <f t="shared" si="36"/>
        <v>0</v>
      </c>
      <c r="Z34" s="19">
        <f t="shared" si="35"/>
        <v>0</v>
      </c>
    </row>
    <row r="35" spans="1:26">
      <c r="A35" s="6">
        <f>+A34+1</f>
        <v>20</v>
      </c>
      <c r="B35" s="82" t="s">
        <v>914</v>
      </c>
      <c r="C35" s="73">
        <v>0</v>
      </c>
      <c r="D35" s="72">
        <f t="shared" si="25"/>
        <v>0</v>
      </c>
      <c r="E35" s="72">
        <f t="shared" si="26"/>
        <v>0</v>
      </c>
      <c r="F35" s="73">
        <v>0</v>
      </c>
      <c r="G35" s="74">
        <v>0</v>
      </c>
      <c r="H35" s="85" t="s">
        <v>735</v>
      </c>
      <c r="I35" s="73">
        <v>0</v>
      </c>
      <c r="J35" s="69"/>
      <c r="K35" s="81">
        <v>0</v>
      </c>
      <c r="L35" s="75">
        <f t="shared" si="28"/>
        <v>0</v>
      </c>
      <c r="M35" s="86">
        <v>0</v>
      </c>
      <c r="N35" s="75">
        <f t="shared" si="29"/>
        <v>0</v>
      </c>
      <c r="O35" s="86">
        <v>0</v>
      </c>
      <c r="P35" s="75">
        <f t="shared" si="30"/>
        <v>0</v>
      </c>
      <c r="Q35" s="86">
        <v>0</v>
      </c>
      <c r="R35" s="75">
        <f t="shared" si="31"/>
        <v>0</v>
      </c>
      <c r="S35" s="86">
        <v>0</v>
      </c>
      <c r="T35" s="75">
        <f t="shared" si="32"/>
        <v>0</v>
      </c>
      <c r="U35" s="86">
        <v>0</v>
      </c>
      <c r="V35" s="75">
        <f t="shared" si="33"/>
        <v>0</v>
      </c>
      <c r="W35" s="86">
        <v>0</v>
      </c>
      <c r="X35" s="75">
        <f t="shared" si="34"/>
        <v>0</v>
      </c>
      <c r="Y35" s="72">
        <f t="shared" si="36"/>
        <v>0</v>
      </c>
      <c r="Z35" s="75">
        <f t="shared" si="35"/>
        <v>0</v>
      </c>
    </row>
    <row r="36" spans="1:26">
      <c r="A36" s="6">
        <f>+A35+1</f>
        <v>21</v>
      </c>
      <c r="B36" s="61" t="s">
        <v>917</v>
      </c>
      <c r="C36" s="77">
        <f>+C34+C35</f>
        <v>0</v>
      </c>
      <c r="D36" s="77">
        <f>+D34+D35</f>
        <v>0</v>
      </c>
      <c r="E36" s="77">
        <f>+SUM(E32:E35)</f>
        <v>0</v>
      </c>
      <c r="F36" s="77">
        <f>+SUM(F32:F35)</f>
        <v>0</v>
      </c>
      <c r="G36" s="77">
        <f>+SUM(G32:G35)</f>
        <v>0</v>
      </c>
      <c r="H36" s="78"/>
      <c r="I36" s="77">
        <f>+SUM(I32:I35)</f>
        <v>0</v>
      </c>
      <c r="J36" s="77"/>
      <c r="K36" s="77">
        <f t="shared" ref="K36:Z36" si="37">+SUM(K32:K35)</f>
        <v>0</v>
      </c>
      <c r="L36" s="77">
        <f t="shared" si="37"/>
        <v>0</v>
      </c>
      <c r="M36" s="77">
        <f t="shared" si="37"/>
        <v>0</v>
      </c>
      <c r="N36" s="77">
        <f t="shared" si="37"/>
        <v>0</v>
      </c>
      <c r="O36" s="77">
        <f t="shared" si="37"/>
        <v>0</v>
      </c>
      <c r="P36" s="77">
        <f t="shared" si="37"/>
        <v>0</v>
      </c>
      <c r="Q36" s="77">
        <f t="shared" si="37"/>
        <v>0</v>
      </c>
      <c r="R36" s="77">
        <f t="shared" si="37"/>
        <v>0</v>
      </c>
      <c r="S36" s="77">
        <f t="shared" si="37"/>
        <v>0</v>
      </c>
      <c r="T36" s="77">
        <f t="shared" si="37"/>
        <v>0</v>
      </c>
      <c r="U36" s="77">
        <f t="shared" si="37"/>
        <v>0</v>
      </c>
      <c r="V36" s="77">
        <f t="shared" si="37"/>
        <v>0</v>
      </c>
      <c r="W36" s="77">
        <f t="shared" si="37"/>
        <v>0</v>
      </c>
      <c r="X36" s="77">
        <f t="shared" si="37"/>
        <v>0</v>
      </c>
      <c r="Y36" s="77">
        <f t="shared" si="37"/>
        <v>0</v>
      </c>
      <c r="Z36" s="77">
        <f t="shared" si="37"/>
        <v>0</v>
      </c>
    </row>
    <row r="37" spans="1:26">
      <c r="B37" s="61"/>
      <c r="C37" s="61"/>
      <c r="D37" s="61"/>
      <c r="E37" s="77"/>
      <c r="F37" s="77"/>
      <c r="G37" s="77"/>
      <c r="H37" s="78"/>
      <c r="I37" s="77"/>
      <c r="J37" s="77"/>
      <c r="K37" s="77"/>
      <c r="L37" s="19"/>
      <c r="M37" s="19"/>
      <c r="N37" s="19"/>
      <c r="O37" s="19"/>
      <c r="P37" s="19"/>
      <c r="Q37" s="19"/>
      <c r="R37" s="19"/>
      <c r="S37" s="19"/>
      <c r="T37" s="19"/>
      <c r="U37" s="19"/>
      <c r="V37" s="19"/>
      <c r="W37" s="19"/>
      <c r="X37" s="19"/>
      <c r="Y37" s="19"/>
      <c r="Z37" s="19"/>
    </row>
    <row r="38" spans="1:26" ht="28.5">
      <c r="A38" s="6">
        <f>+A36+1</f>
        <v>22</v>
      </c>
      <c r="B38" s="61" t="s">
        <v>918</v>
      </c>
      <c r="C38" s="61"/>
      <c r="D38" s="61"/>
      <c r="E38" s="77">
        <f>+E24+E29+E36</f>
        <v>3904074</v>
      </c>
      <c r="F38" s="77"/>
      <c r="G38" s="77">
        <f>+G24+G29+G36</f>
        <v>3904074</v>
      </c>
      <c r="H38" s="78"/>
      <c r="I38" s="77">
        <f>+I24+I29+I36</f>
        <v>493745.2009</v>
      </c>
      <c r="J38" s="77"/>
      <c r="K38" s="77">
        <f>+K24+K29+K36</f>
        <v>0</v>
      </c>
      <c r="L38" s="77">
        <f t="shared" ref="L38:Z38" si="38">+L24+L29+L36</f>
        <v>493745.2009</v>
      </c>
      <c r="M38" s="77">
        <f t="shared" si="38"/>
        <v>49374.520089999998</v>
      </c>
      <c r="N38" s="77">
        <f t="shared" si="38"/>
        <v>444370.68081000005</v>
      </c>
      <c r="O38" s="77">
        <f t="shared" si="38"/>
        <v>49374.520089999998</v>
      </c>
      <c r="P38" s="77">
        <f t="shared" si="38"/>
        <v>394996.16071999999</v>
      </c>
      <c r="Q38" s="77">
        <f t="shared" si="38"/>
        <v>78999.23214399998</v>
      </c>
      <c r="R38" s="77">
        <f t="shared" si="38"/>
        <v>315996.92857599992</v>
      </c>
      <c r="S38" s="77">
        <f t="shared" si="38"/>
        <v>78999.23214399998</v>
      </c>
      <c r="T38" s="77">
        <f t="shared" si="38"/>
        <v>236997.69643200003</v>
      </c>
      <c r="U38" s="77">
        <f t="shared" si="38"/>
        <v>78999.23214399998</v>
      </c>
      <c r="V38" s="77">
        <f t="shared" si="38"/>
        <v>362684.91302399989</v>
      </c>
      <c r="W38" s="77">
        <f t="shared" si="38"/>
        <v>78999.23214399998</v>
      </c>
      <c r="X38" s="77">
        <f t="shared" si="38"/>
        <v>78999.23214399998</v>
      </c>
      <c r="Y38" s="77">
        <f t="shared" si="38"/>
        <v>78999.23214399998</v>
      </c>
      <c r="Z38" s="77">
        <f t="shared" si="38"/>
        <v>0</v>
      </c>
    </row>
    <row r="39" spans="1:26">
      <c r="A39" s="6">
        <f>+A38+1</f>
        <v>23</v>
      </c>
      <c r="B39" s="61" t="s">
        <v>919</v>
      </c>
      <c r="C39" s="61"/>
      <c r="D39" s="61"/>
      <c r="E39" s="81">
        <f>G39</f>
        <v>1037791.82278481</v>
      </c>
      <c r="F39" s="81"/>
      <c r="G39" s="81">
        <v>1037791.82278481</v>
      </c>
      <c r="H39" s="78"/>
      <c r="I39" s="81">
        <v>131248.72428987341</v>
      </c>
      <c r="J39" s="77"/>
      <c r="K39" s="81"/>
      <c r="L39" s="81">
        <v>131248.72428987341</v>
      </c>
      <c r="M39" s="19"/>
      <c r="N39" s="81">
        <v>118123.85186088608</v>
      </c>
      <c r="O39" s="19"/>
      <c r="P39" s="81">
        <v>104998.97943189873</v>
      </c>
      <c r="Q39" s="19"/>
      <c r="R39" s="81">
        <v>83999.183545518958</v>
      </c>
      <c r="S39" s="19"/>
      <c r="T39" s="81">
        <v>62999.38765913924</v>
      </c>
      <c r="U39" s="19"/>
      <c r="V39" s="81">
        <v>96409.913588658193</v>
      </c>
      <c r="W39" s="19"/>
      <c r="X39" s="81">
        <v>20999.795886379739</v>
      </c>
      <c r="Y39" s="19"/>
      <c r="Z39" s="81">
        <v>0</v>
      </c>
    </row>
    <row r="40" spans="1:26" ht="28.5">
      <c r="A40" s="6">
        <f>+A39+1</f>
        <v>24</v>
      </c>
      <c r="B40" s="61" t="s">
        <v>920</v>
      </c>
      <c r="C40" s="61"/>
      <c r="D40" s="61"/>
      <c r="E40" s="77">
        <f>+E38+E39</f>
        <v>4941865.8227848103</v>
      </c>
      <c r="F40" s="81"/>
      <c r="G40" s="77">
        <f>+G38+G39</f>
        <v>4941865.8227848103</v>
      </c>
      <c r="H40" s="78"/>
      <c r="I40" s="77">
        <f>+I38+I39</f>
        <v>624993.92518987344</v>
      </c>
      <c r="J40" s="77"/>
      <c r="K40" s="77"/>
      <c r="L40" s="77">
        <f>+L38+L39</f>
        <v>624993.92518987344</v>
      </c>
      <c r="M40" s="19"/>
      <c r="N40" s="77">
        <f>+N38+N39</f>
        <v>562494.53267088614</v>
      </c>
      <c r="O40" s="19"/>
      <c r="P40" s="77">
        <f>+P38+P39</f>
        <v>499995.14015189873</v>
      </c>
      <c r="Q40" s="19"/>
      <c r="R40" s="77">
        <f>+R38+R39</f>
        <v>399996.11212151888</v>
      </c>
      <c r="S40" s="19"/>
      <c r="T40" s="77">
        <f>+T38+T39</f>
        <v>299997.08409113926</v>
      </c>
      <c r="U40" s="19"/>
      <c r="V40" s="77">
        <f>+V38+V39</f>
        <v>459094.8266126581</v>
      </c>
      <c r="W40" s="19"/>
      <c r="X40" s="77">
        <f>+X38+X39</f>
        <v>99999.028030379719</v>
      </c>
      <c r="Y40" s="19"/>
      <c r="Z40" s="77">
        <f>+Z38+Z39</f>
        <v>0</v>
      </c>
    </row>
    <row r="41" spans="1:26">
      <c r="B41" s="61"/>
      <c r="C41" s="61"/>
      <c r="D41" s="61"/>
      <c r="E41" s="77"/>
      <c r="F41" s="77"/>
      <c r="G41" s="77"/>
      <c r="H41" s="78"/>
      <c r="I41" s="77"/>
      <c r="J41" s="77"/>
      <c r="K41" s="77"/>
      <c r="L41" s="19"/>
      <c r="M41" s="19"/>
      <c r="N41" s="19"/>
      <c r="O41" s="19"/>
      <c r="P41" s="19"/>
      <c r="Q41" s="19"/>
      <c r="R41" s="19"/>
      <c r="S41" s="19"/>
      <c r="T41" s="19"/>
      <c r="U41" s="19"/>
      <c r="V41" s="19"/>
      <c r="W41" s="19"/>
      <c r="X41" s="19"/>
      <c r="Y41" s="19"/>
      <c r="Z41" s="19"/>
    </row>
    <row r="42" spans="1:26">
      <c r="B42" s="61"/>
      <c r="C42" s="61"/>
      <c r="D42" s="61"/>
      <c r="E42" s="77"/>
      <c r="F42" s="77"/>
      <c r="G42" s="77"/>
      <c r="H42" s="78"/>
      <c r="I42" s="77"/>
      <c r="J42" s="77"/>
      <c r="K42" s="77"/>
      <c r="L42" s="19"/>
      <c r="M42" s="19"/>
      <c r="N42" s="19"/>
      <c r="O42" s="19"/>
      <c r="P42" s="19"/>
      <c r="Q42" s="19"/>
      <c r="R42" s="19"/>
      <c r="S42" s="19"/>
      <c r="T42" s="19"/>
      <c r="U42" s="19"/>
      <c r="V42" s="19"/>
      <c r="W42" s="19"/>
      <c r="X42" s="19"/>
      <c r="Y42" s="19"/>
      <c r="Z42" s="19"/>
    </row>
    <row r="43" spans="1:26" ht="30">
      <c r="B43" s="63" t="s">
        <v>921</v>
      </c>
      <c r="C43" s="63"/>
      <c r="D43" s="63"/>
      <c r="E43" s="77"/>
      <c r="F43" s="77"/>
      <c r="G43" s="77"/>
      <c r="H43" s="78"/>
      <c r="I43" s="77"/>
      <c r="J43" s="77"/>
      <c r="K43" s="77"/>
      <c r="L43" s="19"/>
      <c r="M43" s="19"/>
      <c r="N43" s="19"/>
      <c r="O43" s="19"/>
      <c r="P43" s="19"/>
      <c r="Q43" s="19"/>
      <c r="R43" s="19"/>
      <c r="S43" s="19"/>
      <c r="T43" s="19"/>
      <c r="U43" s="19"/>
      <c r="V43" s="19"/>
      <c r="W43" s="19"/>
      <c r="X43" s="19"/>
      <c r="Y43" s="19"/>
      <c r="Z43" s="19"/>
    </row>
    <row r="44" spans="1:26">
      <c r="B44" s="61"/>
      <c r="C44" s="61"/>
      <c r="D44" s="61"/>
      <c r="E44" s="77"/>
      <c r="F44" s="77"/>
      <c r="G44" s="77"/>
      <c r="H44" s="78"/>
      <c r="I44" s="77"/>
      <c r="J44" s="77"/>
      <c r="K44" s="77"/>
      <c r="L44" s="19"/>
      <c r="M44" s="19"/>
      <c r="N44" s="19"/>
      <c r="O44" s="19"/>
      <c r="P44" s="19"/>
      <c r="Q44" s="19"/>
      <c r="R44" s="19"/>
      <c r="S44" s="19"/>
      <c r="T44" s="19"/>
      <c r="U44" s="19"/>
      <c r="V44" s="19"/>
      <c r="W44" s="19"/>
      <c r="X44" s="19"/>
      <c r="Y44" s="19"/>
      <c r="Z44" s="19"/>
    </row>
    <row r="45" spans="1:26" ht="16.5">
      <c r="B45" s="76" t="s">
        <v>910</v>
      </c>
      <c r="C45" s="76"/>
      <c r="D45" s="76"/>
      <c r="E45" s="80"/>
      <c r="F45" s="80"/>
      <c r="G45" s="80"/>
      <c r="H45" s="78"/>
      <c r="I45" s="77"/>
      <c r="J45" s="77"/>
      <c r="K45" s="77"/>
      <c r="L45" s="19"/>
      <c r="M45" s="19"/>
      <c r="N45" s="19"/>
      <c r="O45" s="19"/>
      <c r="P45" s="19"/>
      <c r="Q45" s="19"/>
      <c r="R45" s="19"/>
      <c r="S45" s="19"/>
      <c r="T45" s="19"/>
      <c r="U45" s="19"/>
      <c r="V45" s="19"/>
      <c r="W45" s="19"/>
      <c r="X45" s="19"/>
      <c r="Y45" s="19"/>
      <c r="Z45" s="19"/>
    </row>
    <row r="46" spans="1:26">
      <c r="A46" s="6">
        <f>+A40+1</f>
        <v>25</v>
      </c>
      <c r="B46" s="82" t="s">
        <v>914</v>
      </c>
      <c r="C46" s="69">
        <v>0</v>
      </c>
      <c r="D46" s="65">
        <f t="shared" ref="D46:D47" si="39">+C46*$I$80</f>
        <v>0</v>
      </c>
      <c r="E46" s="65">
        <f t="shared" ref="E46:E47" si="40">+C46-D46</f>
        <v>0</v>
      </c>
      <c r="F46" s="69">
        <v>0</v>
      </c>
      <c r="G46" s="70">
        <v>0</v>
      </c>
      <c r="H46" s="83">
        <v>0</v>
      </c>
      <c r="I46" s="65">
        <f t="shared" ref="I46" si="41">+G46*H46</f>
        <v>0</v>
      </c>
      <c r="J46" s="69"/>
      <c r="K46" s="77">
        <v>0</v>
      </c>
      <c r="L46" s="19">
        <f>+I46-K46</f>
        <v>0</v>
      </c>
      <c r="M46" s="69">
        <v>0</v>
      </c>
      <c r="N46" s="19">
        <f>+L46-M46</f>
        <v>0</v>
      </c>
      <c r="O46" s="69">
        <v>0</v>
      </c>
      <c r="P46" s="19">
        <f>+N46-O46</f>
        <v>0</v>
      </c>
      <c r="Q46" s="69">
        <v>0</v>
      </c>
      <c r="R46" s="19">
        <f>+P46-Q46</f>
        <v>0</v>
      </c>
      <c r="S46" s="69">
        <v>0</v>
      </c>
      <c r="T46" s="19">
        <f>+R46-S46</f>
        <v>0</v>
      </c>
      <c r="U46" s="69">
        <v>0</v>
      </c>
      <c r="V46" s="19">
        <f>+T46-U46</f>
        <v>0</v>
      </c>
      <c r="W46" s="69">
        <v>0</v>
      </c>
      <c r="X46" s="19">
        <f>+V46-W46</f>
        <v>0</v>
      </c>
      <c r="Y46" s="69">
        <v>0</v>
      </c>
      <c r="Z46" s="19">
        <f>+X46-Y46</f>
        <v>0</v>
      </c>
    </row>
    <row r="47" spans="1:26">
      <c r="A47" s="6">
        <f>+A46+1</f>
        <v>26</v>
      </c>
      <c r="B47" s="82" t="s">
        <v>914</v>
      </c>
      <c r="C47" s="73">
        <v>0</v>
      </c>
      <c r="D47" s="72">
        <f t="shared" si="39"/>
        <v>0</v>
      </c>
      <c r="E47" s="72">
        <f t="shared" si="40"/>
        <v>0</v>
      </c>
      <c r="F47" s="73">
        <v>0</v>
      </c>
      <c r="G47" s="74">
        <v>0</v>
      </c>
      <c r="H47" s="85" t="s">
        <v>735</v>
      </c>
      <c r="I47" s="73">
        <v>0</v>
      </c>
      <c r="J47" s="69"/>
      <c r="K47" s="81">
        <v>0</v>
      </c>
      <c r="L47" s="75">
        <f>+I47-K47</f>
        <v>0</v>
      </c>
      <c r="M47" s="73">
        <v>0</v>
      </c>
      <c r="N47" s="75">
        <f>+L47-M47</f>
        <v>0</v>
      </c>
      <c r="O47" s="73">
        <v>0</v>
      </c>
      <c r="P47" s="75">
        <f>+N47-O47</f>
        <v>0</v>
      </c>
      <c r="Q47" s="73">
        <v>0</v>
      </c>
      <c r="R47" s="75">
        <f>+P47-Q47</f>
        <v>0</v>
      </c>
      <c r="S47" s="73">
        <v>0</v>
      </c>
      <c r="T47" s="75">
        <f>+R47-S47</f>
        <v>0</v>
      </c>
      <c r="U47" s="73">
        <v>0</v>
      </c>
      <c r="V47" s="75">
        <f>+T47-U47</f>
        <v>0</v>
      </c>
      <c r="W47" s="73">
        <v>0</v>
      </c>
      <c r="X47" s="75">
        <f>+V47-W47</f>
        <v>0</v>
      </c>
      <c r="Y47" s="73">
        <v>0</v>
      </c>
      <c r="Z47" s="75">
        <f>+X47-Y47</f>
        <v>0</v>
      </c>
    </row>
    <row r="48" spans="1:26">
      <c r="A48" s="6">
        <f>+A47+1</f>
        <v>27</v>
      </c>
      <c r="B48" s="61" t="s">
        <v>922</v>
      </c>
      <c r="C48" s="77">
        <f>+C46+C47</f>
        <v>0</v>
      </c>
      <c r="D48" s="77">
        <f>+D46+D47</f>
        <v>0</v>
      </c>
      <c r="E48" s="77">
        <f>+E46+E47</f>
        <v>0</v>
      </c>
      <c r="F48" s="77">
        <f>+F46+F47</f>
        <v>0</v>
      </c>
      <c r="G48" s="70">
        <f>+G46+G47</f>
        <v>0</v>
      </c>
      <c r="H48" s="78"/>
      <c r="I48" s="77">
        <v>0</v>
      </c>
      <c r="J48" s="77"/>
      <c r="K48" s="77">
        <v>0</v>
      </c>
      <c r="L48" s="77">
        <v>0</v>
      </c>
      <c r="M48" s="77">
        <v>0</v>
      </c>
      <c r="N48" s="77">
        <v>0</v>
      </c>
      <c r="O48" s="77">
        <v>0</v>
      </c>
      <c r="P48" s="77">
        <v>0</v>
      </c>
      <c r="Q48" s="77">
        <v>0</v>
      </c>
      <c r="R48" s="77">
        <v>0</v>
      </c>
      <c r="S48" s="77">
        <v>0</v>
      </c>
      <c r="T48" s="77">
        <v>0</v>
      </c>
      <c r="U48" s="77">
        <v>0</v>
      </c>
      <c r="V48" s="77">
        <v>0</v>
      </c>
      <c r="W48" s="77">
        <v>0</v>
      </c>
      <c r="X48" s="77">
        <v>0</v>
      </c>
      <c r="Y48" s="77">
        <v>0</v>
      </c>
      <c r="Z48" s="77">
        <v>0</v>
      </c>
    </row>
    <row r="49" spans="1:26">
      <c r="B49" s="61"/>
      <c r="C49" s="77"/>
      <c r="D49" s="77"/>
      <c r="E49" s="77"/>
      <c r="F49" s="77"/>
      <c r="G49" s="70"/>
      <c r="H49" s="78"/>
      <c r="I49" s="77"/>
      <c r="J49" s="77"/>
      <c r="K49" s="77"/>
      <c r="L49" s="19"/>
      <c r="M49" s="19"/>
      <c r="N49" s="19"/>
      <c r="O49" s="19"/>
      <c r="P49" s="19"/>
      <c r="Q49" s="19"/>
      <c r="R49" s="19"/>
      <c r="S49" s="19"/>
      <c r="T49" s="19"/>
      <c r="U49" s="19"/>
      <c r="V49" s="19"/>
      <c r="W49" s="19"/>
      <c r="X49" s="19"/>
      <c r="Y49" s="19"/>
      <c r="Z49" s="19"/>
    </row>
    <row r="50" spans="1:26">
      <c r="B50" s="76" t="s">
        <v>913</v>
      </c>
      <c r="C50" s="77"/>
      <c r="D50" s="77"/>
      <c r="E50" s="77"/>
      <c r="F50" s="77"/>
      <c r="G50" s="70"/>
      <c r="H50" s="78"/>
      <c r="I50" s="77"/>
      <c r="J50" s="77"/>
      <c r="K50" s="77"/>
      <c r="L50" s="19"/>
      <c r="M50" s="19"/>
      <c r="N50" s="19"/>
      <c r="O50" s="19"/>
      <c r="P50" s="19"/>
      <c r="Q50" s="19"/>
      <c r="R50" s="19"/>
      <c r="S50" s="19"/>
      <c r="T50" s="19"/>
      <c r="U50" s="19"/>
      <c r="V50" s="19"/>
      <c r="W50" s="19"/>
      <c r="X50" s="19"/>
      <c r="Y50" s="19"/>
      <c r="Z50" s="19"/>
    </row>
    <row r="51" spans="1:26">
      <c r="A51" s="6">
        <f>+A48+1</f>
        <v>28</v>
      </c>
      <c r="B51" s="88" t="s">
        <v>736</v>
      </c>
      <c r="C51" s="69">
        <v>-174316942.5</v>
      </c>
      <c r="D51" s="65">
        <f t="shared" ref="D51:D52" si="42">+C51*$I$80</f>
        <v>-104590165.5</v>
      </c>
      <c r="E51" s="65">
        <f t="shared" ref="E51:E52" si="43">+C51-D51</f>
        <v>-69726777</v>
      </c>
      <c r="F51" s="69">
        <v>0</v>
      </c>
      <c r="G51" s="70">
        <v>-69726777</v>
      </c>
      <c r="H51" s="67">
        <v>0.30148496415831438</v>
      </c>
      <c r="I51" s="65">
        <f t="shared" ref="I51" si="44">+G51*H51</f>
        <v>-21021574.864719778</v>
      </c>
      <c r="J51" s="71" t="s">
        <v>216</v>
      </c>
      <c r="K51" s="70">
        <v>0</v>
      </c>
      <c r="L51" s="19">
        <f t="shared" ref="L51:L52" si="45">+I51-K51</f>
        <v>-21021574.864719778</v>
      </c>
      <c r="M51" s="84">
        <v>-1589075</v>
      </c>
      <c r="N51" s="19">
        <f t="shared" ref="N51:N52" si="46">+L51-M51</f>
        <v>-19432499.864719778</v>
      </c>
      <c r="O51" s="69">
        <v>0</v>
      </c>
      <c r="P51" s="19">
        <f t="shared" ref="P51:P52" si="47">+N51-O51</f>
        <v>-19432499.864719778</v>
      </c>
      <c r="Q51" s="69">
        <v>0</v>
      </c>
      <c r="R51" s="19">
        <f t="shared" ref="R51:R52" si="48">+P51-Q51</f>
        <v>-19432499.864719778</v>
      </c>
      <c r="S51" s="69">
        <v>0</v>
      </c>
      <c r="T51" s="19">
        <f t="shared" ref="T51:T52" si="49">+R51-S51</f>
        <v>-19432499.864719778</v>
      </c>
      <c r="U51" s="69">
        <v>0</v>
      </c>
      <c r="V51" s="19">
        <f t="shared" ref="V51:V52" si="50">+T51-U51</f>
        <v>-19432499.864719778</v>
      </c>
      <c r="W51" s="69">
        <v>0</v>
      </c>
      <c r="X51" s="19">
        <f t="shared" ref="X51:X52" si="51">+V51-W51</f>
        <v>-19432499.864719778</v>
      </c>
      <c r="Y51" s="69">
        <v>0</v>
      </c>
      <c r="Z51" s="19">
        <f t="shared" ref="Z51:Z52" si="52">+X51-Y51</f>
        <v>-19432499.864719778</v>
      </c>
    </row>
    <row r="52" spans="1:26">
      <c r="A52" s="6">
        <f>+A51+1</f>
        <v>29</v>
      </c>
      <c r="B52" s="88" t="s">
        <v>923</v>
      </c>
      <c r="C52" s="73">
        <v>-75808367.5</v>
      </c>
      <c r="D52" s="72">
        <f t="shared" si="42"/>
        <v>-45485020.5</v>
      </c>
      <c r="E52" s="72">
        <f t="shared" si="43"/>
        <v>-30323347</v>
      </c>
      <c r="F52" s="73">
        <v>0</v>
      </c>
      <c r="G52" s="74">
        <v>-30323347</v>
      </c>
      <c r="H52" s="67" t="s">
        <v>735</v>
      </c>
      <c r="I52" s="89">
        <v>-9133897</v>
      </c>
      <c r="J52" s="90" t="s">
        <v>924</v>
      </c>
      <c r="K52" s="91">
        <v>0</v>
      </c>
      <c r="L52" s="75">
        <f t="shared" si="45"/>
        <v>-9133897</v>
      </c>
      <c r="M52" s="75">
        <f>+I52/10</f>
        <v>-913389.7</v>
      </c>
      <c r="N52" s="75">
        <f t="shared" si="46"/>
        <v>-8220507.2999999998</v>
      </c>
      <c r="O52" s="75">
        <f>+I52/10</f>
        <v>-913389.7</v>
      </c>
      <c r="P52" s="75">
        <f t="shared" si="47"/>
        <v>-7307117.5999999996</v>
      </c>
      <c r="Q52" s="75">
        <f>+P52/5</f>
        <v>-1461423.52</v>
      </c>
      <c r="R52" s="75">
        <f t="shared" si="48"/>
        <v>-5845694.0800000001</v>
      </c>
      <c r="S52" s="72">
        <f t="shared" ref="S52:Y52" si="53">+$P52/5</f>
        <v>-1461423.52</v>
      </c>
      <c r="T52" s="75">
        <f t="shared" si="49"/>
        <v>-4384270.5600000005</v>
      </c>
      <c r="U52" s="72">
        <f t="shared" si="53"/>
        <v>-1461423.52</v>
      </c>
      <c r="V52" s="75">
        <f t="shared" si="50"/>
        <v>-2922847.0400000005</v>
      </c>
      <c r="W52" s="72">
        <f t="shared" si="53"/>
        <v>-1461423.52</v>
      </c>
      <c r="X52" s="75">
        <f t="shared" si="51"/>
        <v>-1461423.5200000005</v>
      </c>
      <c r="Y52" s="72">
        <f t="shared" si="53"/>
        <v>-1461423.52</v>
      </c>
      <c r="Z52" s="75">
        <f t="shared" si="52"/>
        <v>0</v>
      </c>
    </row>
    <row r="53" spans="1:26" ht="16.5">
      <c r="A53" s="6">
        <f>+A52+1</f>
        <v>30</v>
      </c>
      <c r="B53" s="61" t="s">
        <v>915</v>
      </c>
      <c r="C53" s="80">
        <f>+SUM(C51:C52)</f>
        <v>-250125310</v>
      </c>
      <c r="D53" s="77">
        <f>+D51+D52</f>
        <v>-150075186</v>
      </c>
      <c r="E53" s="77">
        <f>+SUM(E51:E52)</f>
        <v>-100050124</v>
      </c>
      <c r="F53" s="77">
        <f>+SUM(F51:F52)</f>
        <v>0</v>
      </c>
      <c r="G53" s="70">
        <f>+SUM(G51:G52)</f>
        <v>-100050124</v>
      </c>
      <c r="H53" s="78"/>
      <c r="I53" s="92">
        <f t="shared" ref="I53:Z53" si="54">+SUM(I51:I52)</f>
        <v>-30155471.864719778</v>
      </c>
      <c r="J53" s="92"/>
      <c r="K53" s="92">
        <f t="shared" si="54"/>
        <v>0</v>
      </c>
      <c r="L53" s="92">
        <f t="shared" si="54"/>
        <v>-30155471.864719778</v>
      </c>
      <c r="M53" s="92">
        <f t="shared" si="54"/>
        <v>-2502464.7000000002</v>
      </c>
      <c r="N53" s="92">
        <f t="shared" si="54"/>
        <v>-27653007.164719779</v>
      </c>
      <c r="O53" s="93">
        <f t="shared" si="54"/>
        <v>-913389.7</v>
      </c>
      <c r="P53" s="92">
        <f t="shared" si="54"/>
        <v>-26739617.46471978</v>
      </c>
      <c r="Q53" s="93">
        <f t="shared" si="54"/>
        <v>-1461423.52</v>
      </c>
      <c r="R53" s="92">
        <f t="shared" si="54"/>
        <v>-25278193.944719777</v>
      </c>
      <c r="S53" s="93">
        <f t="shared" si="54"/>
        <v>-1461423.52</v>
      </c>
      <c r="T53" s="92">
        <f t="shared" si="54"/>
        <v>-23816770.424719781</v>
      </c>
      <c r="U53" s="93">
        <f t="shared" si="54"/>
        <v>-1461423.52</v>
      </c>
      <c r="V53" s="92">
        <f t="shared" si="54"/>
        <v>-22355346.904719777</v>
      </c>
      <c r="W53" s="93">
        <f t="shared" si="54"/>
        <v>-1461423.52</v>
      </c>
      <c r="X53" s="92">
        <f t="shared" si="54"/>
        <v>-20893923.384719778</v>
      </c>
      <c r="Y53" s="93">
        <f t="shared" si="54"/>
        <v>-1461423.52</v>
      </c>
      <c r="Z53" s="92">
        <f t="shared" si="54"/>
        <v>-19432499.864719778</v>
      </c>
    </row>
    <row r="54" spans="1:26">
      <c r="B54" s="61"/>
      <c r="C54" s="77"/>
      <c r="D54" s="77"/>
      <c r="E54" s="77"/>
      <c r="F54" s="77"/>
      <c r="G54" s="70"/>
      <c r="H54" s="78"/>
      <c r="I54" s="77"/>
      <c r="J54" s="77"/>
      <c r="K54" s="77"/>
      <c r="L54" s="19"/>
      <c r="M54" s="19"/>
      <c r="N54" s="19"/>
      <c r="O54" s="19"/>
      <c r="P54" s="19"/>
      <c r="Q54" s="19"/>
      <c r="R54" s="19"/>
      <c r="S54" s="19"/>
      <c r="T54" s="19"/>
      <c r="U54" s="19"/>
      <c r="V54" s="19"/>
      <c r="W54" s="19"/>
      <c r="X54" s="19"/>
      <c r="Y54" s="19"/>
      <c r="Z54" s="19"/>
    </row>
    <row r="55" spans="1:26">
      <c r="B55" s="61" t="s">
        <v>916</v>
      </c>
      <c r="C55" s="77"/>
      <c r="D55" s="77"/>
      <c r="E55" s="77"/>
      <c r="F55" s="77"/>
      <c r="G55" s="70"/>
      <c r="H55" s="78"/>
      <c r="I55" s="77"/>
      <c r="J55" s="77"/>
      <c r="K55" s="77"/>
      <c r="L55" s="19"/>
      <c r="M55" s="19"/>
      <c r="N55" s="19"/>
      <c r="O55" s="19"/>
      <c r="P55" s="19"/>
      <c r="Q55" s="19"/>
      <c r="R55" s="19"/>
      <c r="S55" s="19"/>
      <c r="T55" s="19"/>
      <c r="U55" s="19"/>
      <c r="V55" s="19"/>
      <c r="W55" s="19"/>
      <c r="X55" s="19"/>
      <c r="Y55" s="19"/>
      <c r="Z55" s="19"/>
    </row>
    <row r="56" spans="1:26">
      <c r="A56" s="6">
        <f>+A53+1</f>
        <v>31</v>
      </c>
      <c r="B56" s="88" t="s">
        <v>283</v>
      </c>
      <c r="C56" s="69">
        <v>-5722360</v>
      </c>
      <c r="D56" s="65">
        <f t="shared" ref="D56:D61" si="55">+C56*$I$80</f>
        <v>-3433416</v>
      </c>
      <c r="E56" s="65">
        <f t="shared" ref="E56:E61" si="56">+C56-D56</f>
        <v>-2288944</v>
      </c>
      <c r="F56" s="69">
        <v>0</v>
      </c>
      <c r="G56" s="70">
        <v>-2288944</v>
      </c>
      <c r="H56" s="67">
        <v>0.30148000000000003</v>
      </c>
      <c r="I56" s="65">
        <f t="shared" ref="I56:I60" si="57">+G56*H56</f>
        <v>-690070.83712000004</v>
      </c>
      <c r="J56" s="71" t="s">
        <v>911</v>
      </c>
      <c r="K56" s="70">
        <v>0</v>
      </c>
      <c r="L56" s="19">
        <f t="shared" ref="L56:L61" si="58">+I56-K56</f>
        <v>-690070.83712000004</v>
      </c>
      <c r="M56" s="19">
        <f>+I56/10</f>
        <v>-69007.083712000007</v>
      </c>
      <c r="N56" s="19">
        <f t="shared" ref="N56:N61" si="59">+L56-M56</f>
        <v>-621063.75340799999</v>
      </c>
      <c r="O56" s="19">
        <f>+I56/10</f>
        <v>-69007.083712000007</v>
      </c>
      <c r="P56" s="19">
        <f t="shared" ref="P56:P61" si="60">+N56-O56</f>
        <v>-552056.66969599994</v>
      </c>
      <c r="Q56" s="19">
        <f>+P56/5</f>
        <v>-110411.33393919999</v>
      </c>
      <c r="R56" s="19">
        <f t="shared" ref="R56:R61" si="61">+P56-Q56</f>
        <v>-441645.33575679996</v>
      </c>
      <c r="S56" s="65">
        <f t="shared" ref="S56:Y61" si="62">+$P56/5</f>
        <v>-110411.33393919999</v>
      </c>
      <c r="T56" s="19">
        <f t="shared" ref="T56:T61" si="63">+R56-S56</f>
        <v>-331234.00181759999</v>
      </c>
      <c r="U56" s="65">
        <f t="shared" si="62"/>
        <v>-110411.33393919999</v>
      </c>
      <c r="V56" s="19">
        <f t="shared" ref="V56:V61" si="64">+T56-U56</f>
        <v>-220822.66787840001</v>
      </c>
      <c r="W56" s="65">
        <f t="shared" si="62"/>
        <v>-110411.33393919999</v>
      </c>
      <c r="X56" s="19">
        <f t="shared" ref="X56:X61" si="65">+V56-W56</f>
        <v>-110411.33393920002</v>
      </c>
      <c r="Y56" s="65">
        <f t="shared" si="62"/>
        <v>-110411.33393919999</v>
      </c>
      <c r="Z56" s="19">
        <f t="shared" ref="Z56:Z61" si="66">+X56-Y56</f>
        <v>0</v>
      </c>
    </row>
    <row r="57" spans="1:26">
      <c r="A57" s="6">
        <f>+A56+1</f>
        <v>32</v>
      </c>
      <c r="B57" s="88" t="s">
        <v>1023</v>
      </c>
      <c r="C57" s="69">
        <v>-2442970</v>
      </c>
      <c r="D57" s="65">
        <f t="shared" si="55"/>
        <v>-1465782</v>
      </c>
      <c r="E57" s="65">
        <f t="shared" si="56"/>
        <v>-977188</v>
      </c>
      <c r="F57" s="69">
        <v>0</v>
      </c>
      <c r="G57" s="70">
        <v>-977188</v>
      </c>
      <c r="H57" s="67">
        <v>0.14549999999999999</v>
      </c>
      <c r="I57" s="65">
        <f t="shared" si="57"/>
        <v>-142180.85399999999</v>
      </c>
      <c r="J57" s="71" t="s">
        <v>911</v>
      </c>
      <c r="K57" s="70">
        <v>0</v>
      </c>
      <c r="L57" s="19">
        <f t="shared" si="58"/>
        <v>-142180.85399999999</v>
      </c>
      <c r="M57" s="19">
        <f t="shared" ref="M57:M61" si="67">+I57/10</f>
        <v>-14218.0854</v>
      </c>
      <c r="N57" s="19">
        <f t="shared" si="59"/>
        <v>-127962.7686</v>
      </c>
      <c r="O57" s="19">
        <f t="shared" ref="O57:O61" si="68">+I57/10</f>
        <v>-14218.0854</v>
      </c>
      <c r="P57" s="19">
        <f t="shared" si="60"/>
        <v>-113744.6832</v>
      </c>
      <c r="Q57" s="19">
        <f t="shared" ref="Q57:Q61" si="69">+P57/5</f>
        <v>-22748.93664</v>
      </c>
      <c r="R57" s="19">
        <f t="shared" si="61"/>
        <v>-90995.74656</v>
      </c>
      <c r="S57" s="65">
        <f t="shared" si="62"/>
        <v>-22748.93664</v>
      </c>
      <c r="T57" s="19">
        <f t="shared" si="63"/>
        <v>-68246.80992</v>
      </c>
      <c r="U57" s="65">
        <f t="shared" si="62"/>
        <v>-22748.93664</v>
      </c>
      <c r="V57" s="19">
        <f t="shared" si="64"/>
        <v>-45497.87328</v>
      </c>
      <c r="W57" s="65">
        <f t="shared" si="62"/>
        <v>-22748.93664</v>
      </c>
      <c r="X57" s="19">
        <f t="shared" si="65"/>
        <v>-22748.93664</v>
      </c>
      <c r="Y57" s="65">
        <f t="shared" si="62"/>
        <v>-22748.93664</v>
      </c>
      <c r="Z57" s="19">
        <f t="shared" si="66"/>
        <v>0</v>
      </c>
    </row>
    <row r="58" spans="1:26">
      <c r="A58" s="6">
        <f t="shared" ref="A58:A61" si="70">+A57+1</f>
        <v>33</v>
      </c>
      <c r="B58" s="88" t="s">
        <v>737</v>
      </c>
      <c r="C58" s="69">
        <v>-26686865</v>
      </c>
      <c r="D58" s="65">
        <f t="shared" si="55"/>
        <v>-16012119</v>
      </c>
      <c r="E58" s="65">
        <f t="shared" si="56"/>
        <v>-10674746</v>
      </c>
      <c r="F58" s="69">
        <v>0</v>
      </c>
      <c r="G58" s="70">
        <v>-10674746</v>
      </c>
      <c r="H58" s="67">
        <v>0.14549999999999999</v>
      </c>
      <c r="I58" s="65">
        <f t="shared" si="57"/>
        <v>-1553175.5429999998</v>
      </c>
      <c r="J58" s="71" t="s">
        <v>911</v>
      </c>
      <c r="K58" s="70">
        <v>0</v>
      </c>
      <c r="L58" s="19">
        <f t="shared" si="58"/>
        <v>-1553175.5429999998</v>
      </c>
      <c r="M58" s="19">
        <f t="shared" si="67"/>
        <v>-155317.55429999999</v>
      </c>
      <c r="N58" s="19">
        <f t="shared" si="59"/>
        <v>-1397857.9886999999</v>
      </c>
      <c r="O58" s="19">
        <f t="shared" si="68"/>
        <v>-155317.55429999999</v>
      </c>
      <c r="P58" s="19">
        <f t="shared" si="60"/>
        <v>-1242540.4343999999</v>
      </c>
      <c r="Q58" s="19">
        <f t="shared" si="69"/>
        <v>-248508.08687999999</v>
      </c>
      <c r="R58" s="19">
        <f t="shared" si="61"/>
        <v>-994032.34751999995</v>
      </c>
      <c r="S58" s="65">
        <f t="shared" si="62"/>
        <v>-248508.08687999999</v>
      </c>
      <c r="T58" s="19">
        <f t="shared" si="63"/>
        <v>-745524.26063999999</v>
      </c>
      <c r="U58" s="65">
        <f t="shared" si="62"/>
        <v>-248508.08687999999</v>
      </c>
      <c r="V58" s="19">
        <f t="shared" si="64"/>
        <v>-497016.17376000003</v>
      </c>
      <c r="W58" s="65">
        <f t="shared" si="62"/>
        <v>-248508.08687999999</v>
      </c>
      <c r="X58" s="19">
        <f t="shared" si="65"/>
        <v>-248508.08688000005</v>
      </c>
      <c r="Y58" s="65">
        <f t="shared" si="62"/>
        <v>-248508.08687999999</v>
      </c>
      <c r="Z58" s="19">
        <f t="shared" si="66"/>
        <v>0</v>
      </c>
    </row>
    <row r="59" spans="1:26">
      <c r="A59" s="6">
        <f t="shared" si="70"/>
        <v>34</v>
      </c>
      <c r="B59" s="88" t="s">
        <v>289</v>
      </c>
      <c r="C59" s="69">
        <v>-17226040</v>
      </c>
      <c r="D59" s="65">
        <f t="shared" si="55"/>
        <v>-10335624</v>
      </c>
      <c r="E59" s="65">
        <f t="shared" si="56"/>
        <v>-6890416</v>
      </c>
      <c r="F59" s="69">
        <v>0</v>
      </c>
      <c r="G59" s="70">
        <v>-6890416</v>
      </c>
      <c r="H59" s="67">
        <v>0.14549999999999999</v>
      </c>
      <c r="I59" s="65">
        <f t="shared" si="57"/>
        <v>-1002555.5279999999</v>
      </c>
      <c r="J59" s="71" t="s">
        <v>911</v>
      </c>
      <c r="K59" s="70">
        <v>0</v>
      </c>
      <c r="L59" s="19">
        <f t="shared" si="58"/>
        <v>-1002555.5279999999</v>
      </c>
      <c r="M59" s="19">
        <f t="shared" si="67"/>
        <v>-100255.55279999999</v>
      </c>
      <c r="N59" s="19">
        <f t="shared" si="59"/>
        <v>-902299.97519999999</v>
      </c>
      <c r="O59" s="19">
        <f t="shared" si="68"/>
        <v>-100255.55279999999</v>
      </c>
      <c r="P59" s="19">
        <f t="shared" si="60"/>
        <v>-802044.42240000004</v>
      </c>
      <c r="Q59" s="19">
        <f t="shared" si="69"/>
        <v>-160408.88448000001</v>
      </c>
      <c r="R59" s="19">
        <f t="shared" si="61"/>
        <v>-641635.53792000003</v>
      </c>
      <c r="S59" s="65">
        <f t="shared" si="62"/>
        <v>-160408.88448000001</v>
      </c>
      <c r="T59" s="19">
        <f t="shared" si="63"/>
        <v>-481226.65344000002</v>
      </c>
      <c r="U59" s="65">
        <f t="shared" si="62"/>
        <v>-160408.88448000001</v>
      </c>
      <c r="V59" s="19">
        <f t="shared" si="64"/>
        <v>-320817.76896000002</v>
      </c>
      <c r="W59" s="65">
        <f t="shared" si="62"/>
        <v>-160408.88448000001</v>
      </c>
      <c r="X59" s="19">
        <f t="shared" si="65"/>
        <v>-160408.88448000001</v>
      </c>
      <c r="Y59" s="65">
        <f t="shared" si="62"/>
        <v>-160408.88448000001</v>
      </c>
      <c r="Z59" s="19">
        <f t="shared" si="66"/>
        <v>0</v>
      </c>
    </row>
    <row r="60" spans="1:26">
      <c r="A60" s="6">
        <f t="shared" si="70"/>
        <v>35</v>
      </c>
      <c r="B60" s="88" t="s">
        <v>290</v>
      </c>
      <c r="C60" s="69">
        <v>681172.5</v>
      </c>
      <c r="D60" s="65">
        <f t="shared" si="55"/>
        <v>408703.5</v>
      </c>
      <c r="E60" s="65">
        <f t="shared" si="56"/>
        <v>272469</v>
      </c>
      <c r="F60" s="69">
        <v>0</v>
      </c>
      <c r="G60" s="70">
        <v>272469</v>
      </c>
      <c r="H60" s="67">
        <v>0.14549999999999999</v>
      </c>
      <c r="I60" s="65">
        <f t="shared" si="57"/>
        <v>39644.239499999996</v>
      </c>
      <c r="J60" s="71" t="s">
        <v>911</v>
      </c>
      <c r="K60" s="70">
        <v>0</v>
      </c>
      <c r="L60" s="19">
        <f t="shared" si="58"/>
        <v>39644.239499999996</v>
      </c>
      <c r="M60" s="19">
        <f t="shared" si="67"/>
        <v>3964.4239499999994</v>
      </c>
      <c r="N60" s="19">
        <f t="shared" si="59"/>
        <v>35679.815549999999</v>
      </c>
      <c r="O60" s="19">
        <f t="shared" si="68"/>
        <v>3964.4239499999994</v>
      </c>
      <c r="P60" s="19">
        <f t="shared" si="60"/>
        <v>31715.391599999999</v>
      </c>
      <c r="Q60" s="19">
        <f t="shared" si="69"/>
        <v>6343.0783199999996</v>
      </c>
      <c r="R60" s="19">
        <f t="shared" si="61"/>
        <v>25372.313279999998</v>
      </c>
      <c r="S60" s="65">
        <f t="shared" si="62"/>
        <v>6343.0783199999996</v>
      </c>
      <c r="T60" s="19">
        <f t="shared" si="63"/>
        <v>19029.234959999998</v>
      </c>
      <c r="U60" s="65">
        <f t="shared" si="62"/>
        <v>6343.0783199999996</v>
      </c>
      <c r="V60" s="19">
        <f t="shared" si="64"/>
        <v>12686.156639999997</v>
      </c>
      <c r="W60" s="65">
        <f t="shared" si="62"/>
        <v>6343.0783199999996</v>
      </c>
      <c r="X60" s="19">
        <f t="shared" si="65"/>
        <v>6343.0783199999978</v>
      </c>
      <c r="Y60" s="65">
        <f t="shared" si="62"/>
        <v>6343.0783199999996</v>
      </c>
      <c r="Z60" s="19">
        <f t="shared" si="66"/>
        <v>0</v>
      </c>
    </row>
    <row r="61" spans="1:26">
      <c r="A61" s="6">
        <f t="shared" si="70"/>
        <v>36</v>
      </c>
      <c r="B61" s="88" t="s">
        <v>262</v>
      </c>
      <c r="C61" s="73">
        <v>1347942.5</v>
      </c>
      <c r="D61" s="72">
        <f t="shared" si="55"/>
        <v>808765.5</v>
      </c>
      <c r="E61" s="72">
        <f t="shared" si="56"/>
        <v>539177</v>
      </c>
      <c r="F61" s="73">
        <v>0</v>
      </c>
      <c r="G61" s="74">
        <v>539177</v>
      </c>
      <c r="H61" s="67" t="s">
        <v>735</v>
      </c>
      <c r="I61" s="73">
        <v>-1055740</v>
      </c>
      <c r="J61" s="71" t="s">
        <v>911</v>
      </c>
      <c r="K61" s="74">
        <v>0</v>
      </c>
      <c r="L61" s="75">
        <f t="shared" si="58"/>
        <v>-1055740</v>
      </c>
      <c r="M61" s="75">
        <f t="shared" si="67"/>
        <v>-105574</v>
      </c>
      <c r="N61" s="75">
        <f t="shared" si="59"/>
        <v>-950166</v>
      </c>
      <c r="O61" s="75">
        <f t="shared" si="68"/>
        <v>-105574</v>
      </c>
      <c r="P61" s="75">
        <f t="shared" si="60"/>
        <v>-844592</v>
      </c>
      <c r="Q61" s="75">
        <f t="shared" si="69"/>
        <v>-168918.39999999999</v>
      </c>
      <c r="R61" s="75">
        <f t="shared" si="61"/>
        <v>-675673.59999999998</v>
      </c>
      <c r="S61" s="72">
        <f t="shared" si="62"/>
        <v>-168918.39999999999</v>
      </c>
      <c r="T61" s="75">
        <f t="shared" si="63"/>
        <v>-506755.19999999995</v>
      </c>
      <c r="U61" s="72">
        <f t="shared" si="62"/>
        <v>-168918.39999999999</v>
      </c>
      <c r="V61" s="75">
        <f t="shared" si="64"/>
        <v>-337836.79999999993</v>
      </c>
      <c r="W61" s="72">
        <f t="shared" si="62"/>
        <v>-168918.39999999999</v>
      </c>
      <c r="X61" s="75">
        <f t="shared" si="65"/>
        <v>-168918.39999999994</v>
      </c>
      <c r="Y61" s="72">
        <f t="shared" si="62"/>
        <v>-168918.39999999999</v>
      </c>
      <c r="Z61" s="75">
        <f t="shared" si="66"/>
        <v>0</v>
      </c>
    </row>
    <row r="62" spans="1:26" ht="16.5">
      <c r="A62" s="6">
        <f>+A61+1</f>
        <v>37</v>
      </c>
      <c r="B62" s="6" t="s">
        <v>925</v>
      </c>
      <c r="C62" s="80">
        <f>+SUM(C56:C61)</f>
        <v>-50049120</v>
      </c>
      <c r="D62" s="77">
        <f>+SUM(D50:D61)</f>
        <v>-330179844</v>
      </c>
      <c r="E62" s="77">
        <f>+SUM(E56:E61)</f>
        <v>-20019648</v>
      </c>
      <c r="F62" s="77">
        <f>+SUM(F56:F61)</f>
        <v>0</v>
      </c>
      <c r="G62" s="77">
        <f>+SUM(G56:G61)</f>
        <v>-20019648</v>
      </c>
      <c r="H62" s="78"/>
      <c r="I62" s="77">
        <f t="shared" ref="I62:Z62" si="71">+SUM(I56:I61)</f>
        <v>-4404078.5226199999</v>
      </c>
      <c r="J62" s="77"/>
      <c r="K62" s="77">
        <f t="shared" si="71"/>
        <v>0</v>
      </c>
      <c r="L62" s="77">
        <f t="shared" si="71"/>
        <v>-4404078.5226199999</v>
      </c>
      <c r="M62" s="77">
        <f t="shared" si="71"/>
        <v>-440407.85226199997</v>
      </c>
      <c r="N62" s="77">
        <f t="shared" si="71"/>
        <v>-3963670.6703579999</v>
      </c>
      <c r="O62" s="70">
        <f t="shared" si="71"/>
        <v>-440407.85226199997</v>
      </c>
      <c r="P62" s="77">
        <f t="shared" si="71"/>
        <v>-3523262.8180959998</v>
      </c>
      <c r="Q62" s="70">
        <f t="shared" si="71"/>
        <v>-704652.56361920002</v>
      </c>
      <c r="R62" s="77">
        <f t="shared" si="71"/>
        <v>-2818610.2544768001</v>
      </c>
      <c r="S62" s="70">
        <f t="shared" si="71"/>
        <v>-704652.56361920002</v>
      </c>
      <c r="T62" s="77">
        <f t="shared" si="71"/>
        <v>-2113957.6908576</v>
      </c>
      <c r="U62" s="70">
        <f t="shared" si="71"/>
        <v>-704652.56361920002</v>
      </c>
      <c r="V62" s="77">
        <f t="shared" si="71"/>
        <v>-1409305.1272384003</v>
      </c>
      <c r="W62" s="70">
        <f t="shared" si="71"/>
        <v>-704652.56361920002</v>
      </c>
      <c r="X62" s="77">
        <f t="shared" si="71"/>
        <v>-704652.56361920002</v>
      </c>
      <c r="Y62" s="70">
        <f t="shared" si="71"/>
        <v>-704652.56361920002</v>
      </c>
      <c r="Z62" s="77">
        <f t="shared" si="71"/>
        <v>0</v>
      </c>
    </row>
    <row r="63" spans="1:26" ht="16.5">
      <c r="E63" s="80"/>
      <c r="F63" s="80"/>
      <c r="G63" s="80"/>
      <c r="H63" s="78"/>
      <c r="I63" s="80"/>
      <c r="J63" s="80"/>
      <c r="K63" s="80"/>
      <c r="L63" s="80"/>
      <c r="M63" s="80"/>
      <c r="N63" s="80"/>
      <c r="O63" s="94"/>
      <c r="P63" s="80"/>
      <c r="Q63" s="94"/>
      <c r="R63" s="80"/>
      <c r="S63" s="94"/>
      <c r="T63" s="80"/>
      <c r="U63" s="94"/>
      <c r="V63" s="80"/>
      <c r="W63" s="94"/>
      <c r="X63" s="80"/>
      <c r="Y63" s="94"/>
      <c r="Z63" s="80"/>
    </row>
    <row r="64" spans="1:26" ht="30.75">
      <c r="A64" s="6">
        <f>+A62+1</f>
        <v>38</v>
      </c>
      <c r="B64" s="61" t="s">
        <v>918</v>
      </c>
      <c r="C64" s="61"/>
      <c r="D64" s="61"/>
      <c r="E64" s="77">
        <f>+E48+E53+E62</f>
        <v>-120069772</v>
      </c>
      <c r="F64" s="77"/>
      <c r="G64" s="77">
        <f>+G48+G53+G62</f>
        <v>-120069772</v>
      </c>
      <c r="H64" s="78"/>
      <c r="I64" s="77">
        <f>+I48+I53+I62</f>
        <v>-34559550.387339778</v>
      </c>
      <c r="J64" s="80"/>
      <c r="K64" s="77">
        <f>+K48+K53+K62</f>
        <v>0</v>
      </c>
      <c r="L64" s="77">
        <f>+L48+L53+L62</f>
        <v>-34559550.387339778</v>
      </c>
      <c r="M64" s="77">
        <f>+M48+M53+M62</f>
        <v>-2942872.5522620003</v>
      </c>
      <c r="N64" s="77">
        <f t="shared" ref="N64:Z64" si="72">+N48+N53+N62</f>
        <v>-31616677.835077778</v>
      </c>
      <c r="O64" s="77">
        <f t="shared" si="72"/>
        <v>-1353797.5522619998</v>
      </c>
      <c r="P64" s="77">
        <f t="shared" si="72"/>
        <v>-30262880.28281578</v>
      </c>
      <c r="Q64" s="77">
        <f t="shared" si="72"/>
        <v>-2166076.0836192002</v>
      </c>
      <c r="R64" s="77">
        <f t="shared" si="72"/>
        <v>-28096804.199196577</v>
      </c>
      <c r="S64" s="77">
        <f t="shared" si="72"/>
        <v>-2166076.0836192002</v>
      </c>
      <c r="T64" s="77">
        <f t="shared" si="72"/>
        <v>-25930728.115577381</v>
      </c>
      <c r="U64" s="77">
        <f t="shared" si="72"/>
        <v>-2166076.0836192002</v>
      </c>
      <c r="V64" s="77">
        <f t="shared" si="72"/>
        <v>-23764652.031958178</v>
      </c>
      <c r="W64" s="77">
        <f t="shared" si="72"/>
        <v>-2166076.0836192002</v>
      </c>
      <c r="X64" s="77">
        <f t="shared" si="72"/>
        <v>-21598575.948338978</v>
      </c>
      <c r="Y64" s="77">
        <f t="shared" si="72"/>
        <v>-2166076.0836192002</v>
      </c>
      <c r="Z64" s="77">
        <f t="shared" si="72"/>
        <v>-19432499.864719778</v>
      </c>
    </row>
    <row r="65" spans="1:27">
      <c r="A65" s="6">
        <f>+A64+1</f>
        <v>39</v>
      </c>
      <c r="B65" s="61" t="s">
        <v>919</v>
      </c>
      <c r="C65" s="61"/>
      <c r="D65" s="61"/>
      <c r="E65" s="81">
        <f>G65</f>
        <v>-31917281.164556958</v>
      </c>
      <c r="F65" s="81"/>
      <c r="G65" s="81">
        <v>-31917281.164556958</v>
      </c>
      <c r="H65" s="78"/>
      <c r="I65" s="81">
        <v>-9186715.9257485475</v>
      </c>
      <c r="J65" s="77"/>
      <c r="K65" s="77"/>
      <c r="L65" s="81">
        <v>-9186715.9257485475</v>
      </c>
      <c r="M65" s="19"/>
      <c r="N65" s="81">
        <v>-8404433.3485649787</v>
      </c>
      <c r="O65" s="19"/>
      <c r="P65" s="81">
        <v>-8044563.113153561</v>
      </c>
      <c r="Q65" s="19"/>
      <c r="R65" s="81">
        <v>-7468770.7364952918</v>
      </c>
      <c r="S65" s="19"/>
      <c r="T65" s="81">
        <v>-6892978.3598370245</v>
      </c>
      <c r="U65" s="19"/>
      <c r="V65" s="81">
        <v>-6317185.9831787553</v>
      </c>
      <c r="W65" s="19"/>
      <c r="X65" s="81">
        <v>-5741393.606520487</v>
      </c>
      <c r="Y65" s="19"/>
      <c r="Z65" s="81">
        <v>-5165601.2298622187</v>
      </c>
    </row>
    <row r="66" spans="1:27" ht="28.5">
      <c r="A66" s="6">
        <f>+A65+1</f>
        <v>40</v>
      </c>
      <c r="B66" s="61" t="s">
        <v>926</v>
      </c>
      <c r="C66" s="61"/>
      <c r="D66" s="61"/>
      <c r="E66" s="95">
        <f>+E64+E65</f>
        <v>-151987053.16455695</v>
      </c>
      <c r="F66" s="96"/>
      <c r="G66" s="95">
        <f>+G64+G65</f>
        <v>-151987053.16455695</v>
      </c>
      <c r="H66" s="97"/>
      <c r="I66" s="95">
        <f>+I64+I65</f>
        <v>-43746266.313088328</v>
      </c>
      <c r="J66" s="96"/>
      <c r="K66" s="96"/>
      <c r="L66" s="95">
        <f>+L64+L65</f>
        <v>-43746266.313088328</v>
      </c>
      <c r="M66" s="96"/>
      <c r="N66" s="95">
        <f>+N64+N65</f>
        <v>-40021111.18364276</v>
      </c>
      <c r="O66" s="98"/>
      <c r="P66" s="95">
        <f>+P64+P65</f>
        <v>-38307443.395969339</v>
      </c>
      <c r="Q66" s="98"/>
      <c r="R66" s="95">
        <f>+R64+R65</f>
        <v>-35565574.935691871</v>
      </c>
      <c r="S66" s="98"/>
      <c r="T66" s="95">
        <f>+T64+T65</f>
        <v>-32823706.475414407</v>
      </c>
      <c r="U66" s="98"/>
      <c r="V66" s="95">
        <f>+V64+V65</f>
        <v>-30081838.015136935</v>
      </c>
      <c r="W66" s="98"/>
      <c r="X66" s="95">
        <f>+X64+X65</f>
        <v>-27339969.554859467</v>
      </c>
      <c r="Y66" s="98"/>
      <c r="Z66" s="95">
        <f>+Z64+Z65</f>
        <v>-24598101.094581999</v>
      </c>
    </row>
    <row r="67" spans="1:27">
      <c r="B67" s="61"/>
      <c r="C67" s="61"/>
      <c r="D67" s="61"/>
      <c r="E67" s="96"/>
      <c r="F67" s="96"/>
      <c r="G67" s="96"/>
      <c r="H67" s="78"/>
      <c r="I67" s="96"/>
      <c r="J67" s="96"/>
      <c r="K67" s="96"/>
      <c r="L67" s="96"/>
      <c r="M67" s="96"/>
      <c r="N67" s="96"/>
      <c r="O67" s="98"/>
      <c r="P67" s="96"/>
      <c r="Q67" s="98"/>
      <c r="R67" s="96"/>
      <c r="S67" s="98"/>
      <c r="T67" s="96"/>
      <c r="U67" s="98"/>
      <c r="V67" s="96"/>
      <c r="W67" s="98"/>
      <c r="X67" s="96"/>
      <c r="Y67" s="98"/>
      <c r="Z67" s="96"/>
    </row>
    <row r="68" spans="1:27">
      <c r="A68" s="6">
        <f>+A66+1</f>
        <v>41</v>
      </c>
      <c r="B68" s="61" t="s">
        <v>384</v>
      </c>
      <c r="C68" s="61"/>
      <c r="D68" s="61"/>
      <c r="E68" s="96">
        <f>+E40+E66</f>
        <v>-147045187.34177214</v>
      </c>
      <c r="F68" s="96"/>
      <c r="G68" s="96">
        <f>+G40+G66</f>
        <v>-147045187.34177214</v>
      </c>
      <c r="H68" s="78"/>
      <c r="I68" s="96">
        <f>+I40+I66</f>
        <v>-43121272.387898453</v>
      </c>
      <c r="J68" s="96"/>
      <c r="K68" s="96"/>
      <c r="L68" s="96">
        <f>+L40+L66</f>
        <v>-43121272.387898453</v>
      </c>
      <c r="M68" s="96"/>
      <c r="N68" s="96">
        <f>+N40+N66</f>
        <v>-39458616.650971875</v>
      </c>
      <c r="O68" s="98"/>
      <c r="P68" s="96">
        <f>+P40+P66</f>
        <v>-37807448.255817443</v>
      </c>
      <c r="Q68" s="98"/>
      <c r="R68" s="96">
        <f>+R40+R66</f>
        <v>-35165578.823570348</v>
      </c>
      <c r="S68" s="98"/>
      <c r="T68" s="96">
        <f>+T40+T66</f>
        <v>-32523709.391323268</v>
      </c>
      <c r="U68" s="98"/>
      <c r="V68" s="96">
        <f>+V40+V66</f>
        <v>-29622743.188524276</v>
      </c>
      <c r="W68" s="98"/>
      <c r="X68" s="96">
        <f>+X40+X66</f>
        <v>-27239970.526829086</v>
      </c>
      <c r="Y68" s="98"/>
      <c r="Z68" s="96">
        <f>+Z40+Z66</f>
        <v>-24598101.094581999</v>
      </c>
    </row>
    <row r="69" spans="1:27">
      <c r="B69" s="61"/>
      <c r="C69" s="61"/>
      <c r="D69" s="61"/>
      <c r="E69" s="96"/>
      <c r="F69" s="96"/>
      <c r="G69" s="96"/>
      <c r="H69" s="78"/>
      <c r="I69" s="96"/>
      <c r="J69" s="96"/>
      <c r="K69" s="96"/>
      <c r="L69" s="96"/>
      <c r="M69" s="96"/>
      <c r="N69" s="96"/>
      <c r="O69" s="98"/>
      <c r="P69" s="96"/>
      <c r="Q69" s="96"/>
      <c r="R69" s="96"/>
      <c r="S69" s="19"/>
      <c r="T69" s="19"/>
      <c r="U69" s="19"/>
      <c r="V69" s="19"/>
      <c r="W69" s="19"/>
      <c r="X69" s="19"/>
    </row>
    <row r="70" spans="1:27">
      <c r="A70" s="6">
        <f>+A68+1</f>
        <v>42</v>
      </c>
      <c r="B70" s="6" t="s">
        <v>933</v>
      </c>
      <c r="M70" s="19">
        <f>+M38+M64</f>
        <v>-2893498.0321720005</v>
      </c>
      <c r="O70" s="19">
        <f>+O38+O64</f>
        <v>-1304423.0321719998</v>
      </c>
      <c r="Q70" s="19">
        <f>+Q38+Q64</f>
        <v>-2087076.8514752002</v>
      </c>
      <c r="S70" s="19">
        <f>+S38+S64</f>
        <v>-2087076.8514752002</v>
      </c>
      <c r="U70" s="19">
        <f>+U38+U64</f>
        <v>-2087076.8514752002</v>
      </c>
      <c r="W70" s="19">
        <f>+W38+W64</f>
        <v>-2087076.8514752002</v>
      </c>
      <c r="Y70" s="19">
        <f>+Y38+Y64</f>
        <v>-2087076.8514752002</v>
      </c>
      <c r="AA70" s="19"/>
    </row>
    <row r="72" spans="1:27">
      <c r="B72" s="707" t="s">
        <v>927</v>
      </c>
      <c r="C72" s="707"/>
      <c r="D72" s="707"/>
      <c r="E72" s="707"/>
      <c r="F72" s="707"/>
      <c r="G72" s="707"/>
      <c r="H72" s="707"/>
      <c r="I72" s="707"/>
      <c r="J72" s="707"/>
      <c r="K72" s="707"/>
      <c r="L72" s="707"/>
    </row>
    <row r="73" spans="1:27">
      <c r="B73" s="6" t="s">
        <v>966</v>
      </c>
    </row>
    <row r="74" spans="1:27" ht="36.75" customHeight="1">
      <c r="B74" s="707" t="s">
        <v>947</v>
      </c>
      <c r="C74" s="707"/>
      <c r="D74" s="707"/>
      <c r="E74" s="707"/>
      <c r="F74" s="707"/>
      <c r="G74" s="707"/>
      <c r="H74" s="707"/>
      <c r="I74" s="707"/>
      <c r="J74" s="707"/>
      <c r="K74" s="707"/>
      <c r="L74" s="707"/>
    </row>
    <row r="75" spans="1:27">
      <c r="B75" s="6" t="s">
        <v>928</v>
      </c>
    </row>
    <row r="76" spans="1:27">
      <c r="B76" s="6" t="s">
        <v>929</v>
      </c>
    </row>
    <row r="77" spans="1:27">
      <c r="B77" s="6" t="s">
        <v>967</v>
      </c>
    </row>
    <row r="78" spans="1:27">
      <c r="E78" s="6" t="s">
        <v>930</v>
      </c>
      <c r="I78" s="57">
        <v>0.21</v>
      </c>
      <c r="J78" s="57"/>
    </row>
    <row r="79" spans="1:27">
      <c r="E79" s="6" t="s">
        <v>931</v>
      </c>
      <c r="I79" s="57">
        <v>0.35</v>
      </c>
      <c r="J79" s="57"/>
    </row>
    <row r="80" spans="1:27">
      <c r="E80" s="6" t="s">
        <v>932</v>
      </c>
      <c r="I80" s="57">
        <f>+I78/I79</f>
        <v>0.6</v>
      </c>
      <c r="J80" s="57"/>
    </row>
  </sheetData>
  <mergeCells count="3">
    <mergeCell ref="B72:L72"/>
    <mergeCell ref="B74:L74"/>
    <mergeCell ref="B4:C4"/>
  </mergeCells>
  <pageMargins left="0.7" right="0.7" top="0.75" bottom="0.75" header="0.3" footer="0.3"/>
  <pageSetup scale="27" orientation="landscape" r:id="rId1"/>
  <customProperties>
    <customPr name="_pios_id" r:id="rId2"/>
    <customPr name="EpmWorksheetKeyString_GUID" r:id="rId3"/>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W24"/>
  <sheetViews>
    <sheetView zoomScale="85" zoomScaleNormal="85" zoomScaleSheetLayoutView="90" workbookViewId="0">
      <selection activeCell="D308" sqref="D308"/>
    </sheetView>
  </sheetViews>
  <sheetFormatPr defaultColWidth="8.7109375" defaultRowHeight="14.25"/>
  <cols>
    <col min="1" max="1" width="3.28515625" style="6" customWidth="1"/>
    <col min="2" max="5" width="8.7109375" style="6"/>
    <col min="6" max="6" width="15.5703125" style="6" bestFit="1" customWidth="1"/>
    <col min="7" max="7" width="15.140625" style="6" bestFit="1" customWidth="1"/>
    <col min="8" max="8" width="15.5703125" style="6" bestFit="1" customWidth="1"/>
    <col min="9" max="10" width="14.7109375" style="6" bestFit="1" customWidth="1"/>
    <col min="11" max="11" width="15.140625" style="6" bestFit="1" customWidth="1"/>
    <col min="12" max="12" width="14.7109375" style="6" bestFit="1" customWidth="1"/>
    <col min="13" max="16" width="15.140625" style="6" bestFit="1" customWidth="1"/>
    <col min="17" max="17" width="14.7109375" style="6" bestFit="1" customWidth="1"/>
    <col min="18" max="18" width="15.5703125" style="6" bestFit="1" customWidth="1"/>
    <col min="19" max="19" width="15.140625" style="6" bestFit="1" customWidth="1"/>
    <col min="20" max="20" width="5" style="6" customWidth="1"/>
    <col min="21" max="21" width="14" style="6" bestFit="1" customWidth="1"/>
    <col min="22" max="23" width="13.5703125" style="6" bestFit="1" customWidth="1"/>
    <col min="24" max="16384" width="8.7109375" style="6"/>
  </cols>
  <sheetData>
    <row r="1" spans="1:23" ht="21.75" customHeight="1">
      <c r="B1" s="708" t="str">
        <f>+'9 - Excess ADIT'!I2</f>
        <v>Dayton Power and Light</v>
      </c>
      <c r="C1" s="708"/>
      <c r="D1" s="708"/>
      <c r="E1" s="708"/>
      <c r="F1" s="708"/>
      <c r="G1" s="708"/>
      <c r="H1" s="708"/>
      <c r="I1" s="708"/>
      <c r="J1" s="708"/>
      <c r="K1" s="708"/>
      <c r="L1" s="708"/>
      <c r="M1" s="708"/>
    </row>
    <row r="2" spans="1:23" ht="18" customHeight="1">
      <c r="B2" s="708" t="str">
        <f>+'9 - Excess ADIT'!I3</f>
        <v xml:space="preserve">ATTACHMENT H-15A </v>
      </c>
      <c r="C2" s="708"/>
      <c r="D2" s="708"/>
      <c r="E2" s="708"/>
      <c r="F2" s="708"/>
      <c r="G2" s="708"/>
      <c r="H2" s="708"/>
      <c r="I2" s="708"/>
      <c r="J2" s="708"/>
      <c r="K2" s="708"/>
      <c r="L2" s="708"/>
      <c r="M2" s="708"/>
      <c r="Q2" s="24"/>
    </row>
    <row r="3" spans="1:23" ht="15">
      <c r="B3" s="708" t="s">
        <v>796</v>
      </c>
      <c r="C3" s="708"/>
      <c r="D3" s="708"/>
      <c r="E3" s="708"/>
      <c r="F3" s="708"/>
      <c r="G3" s="708"/>
      <c r="H3" s="708"/>
      <c r="I3" s="708"/>
      <c r="J3" s="708"/>
      <c r="K3" s="708"/>
      <c r="L3" s="708"/>
      <c r="M3" s="708"/>
      <c r="N3" s="44"/>
      <c r="O3" s="44"/>
    </row>
    <row r="4" spans="1:23" ht="15">
      <c r="B4" s="747">
        <v>44196</v>
      </c>
      <c r="C4" s="747"/>
      <c r="D4" s="747"/>
      <c r="E4" s="747"/>
      <c r="F4" s="747"/>
      <c r="G4" s="747"/>
      <c r="H4" s="747"/>
      <c r="I4" s="747"/>
      <c r="J4" s="747"/>
      <c r="K4" s="747"/>
      <c r="L4" s="747"/>
      <c r="M4" s="747"/>
      <c r="N4" s="44"/>
      <c r="O4" s="44"/>
    </row>
    <row r="5" spans="1:23" ht="15">
      <c r="H5" s="45"/>
      <c r="I5" s="44"/>
      <c r="J5" s="44"/>
      <c r="K5" s="44"/>
      <c r="L5" s="44"/>
      <c r="M5" s="44"/>
      <c r="N5" s="44"/>
      <c r="O5" s="44"/>
    </row>
    <row r="6" spans="1:23" ht="15">
      <c r="B6" s="46" t="s">
        <v>366</v>
      </c>
      <c r="I6" s="44"/>
      <c r="J6" s="44"/>
      <c r="K6" s="44"/>
      <c r="L6" s="44"/>
      <c r="M6" s="44"/>
      <c r="N6" s="44"/>
      <c r="O6" s="44"/>
    </row>
    <row r="7" spans="1:23" ht="15" thickBot="1"/>
    <row r="8" spans="1:23" ht="15.75" thickBot="1">
      <c r="B8" s="6" t="s">
        <v>970</v>
      </c>
      <c r="U8" s="47"/>
      <c r="V8" s="48" t="s">
        <v>827</v>
      </c>
      <c r="W8" s="49" t="s">
        <v>828</v>
      </c>
    </row>
    <row r="9" spans="1:23" ht="15.75" thickBot="1">
      <c r="F9" s="50" t="s">
        <v>448</v>
      </c>
      <c r="G9" s="51" t="s">
        <v>449</v>
      </c>
      <c r="H9" s="51" t="s">
        <v>450</v>
      </c>
      <c r="I9" s="51" t="s">
        <v>451</v>
      </c>
      <c r="J9" s="51" t="s">
        <v>452</v>
      </c>
      <c r="K9" s="51" t="s">
        <v>335</v>
      </c>
      <c r="L9" s="51" t="s">
        <v>453</v>
      </c>
      <c r="M9" s="51" t="s">
        <v>454</v>
      </c>
      <c r="N9" s="51" t="s">
        <v>455</v>
      </c>
      <c r="O9" s="51" t="s">
        <v>456</v>
      </c>
      <c r="P9" s="51" t="s">
        <v>457</v>
      </c>
      <c r="Q9" s="51" t="s">
        <v>458</v>
      </c>
      <c r="R9" s="51" t="s">
        <v>459</v>
      </c>
      <c r="S9" s="52" t="s">
        <v>460</v>
      </c>
      <c r="T9" s="53"/>
      <c r="U9" s="54" t="s">
        <v>241</v>
      </c>
      <c r="V9" s="55" t="s">
        <v>383</v>
      </c>
      <c r="W9" s="56" t="s">
        <v>383</v>
      </c>
    </row>
    <row r="10" spans="1:23">
      <c r="B10" s="29" t="s">
        <v>738</v>
      </c>
      <c r="V10" s="57">
        <f>+'Appendix A'!H16</f>
        <v>0.15894128950099584</v>
      </c>
      <c r="W10" s="57">
        <f>+'Appendix A'!H24</f>
        <v>0.18366168455659479</v>
      </c>
    </row>
    <row r="12" spans="1:23">
      <c r="A12" s="6">
        <v>1</v>
      </c>
      <c r="B12" s="6" t="s">
        <v>826</v>
      </c>
      <c r="F12" s="16">
        <v>-2886765</v>
      </c>
      <c r="G12" s="16">
        <v>-1393420</v>
      </c>
      <c r="H12" s="16">
        <v>-990541</v>
      </c>
      <c r="I12" s="16">
        <v>-1012233</v>
      </c>
      <c r="J12" s="16">
        <v>-1497841</v>
      </c>
      <c r="K12" s="16">
        <v>-1903272</v>
      </c>
      <c r="L12" s="16">
        <v>-2347209</v>
      </c>
      <c r="M12" s="16">
        <v>-857734</v>
      </c>
      <c r="N12" s="16">
        <v>-1198926</v>
      </c>
      <c r="O12" s="16">
        <v>-1506645</v>
      </c>
      <c r="P12" s="16">
        <v>-1903758</v>
      </c>
      <c r="Q12" s="16">
        <v>-2203532</v>
      </c>
      <c r="R12" s="16">
        <v>-718965</v>
      </c>
      <c r="S12" s="15">
        <f>+SUM(F12:R12)/13</f>
        <v>-1570833.923076923</v>
      </c>
      <c r="T12" s="15"/>
      <c r="U12" s="15">
        <f>+S12</f>
        <v>-1570833.923076923</v>
      </c>
      <c r="V12" s="15"/>
      <c r="W12" s="15"/>
    </row>
    <row r="13" spans="1:23">
      <c r="F13" s="16"/>
      <c r="G13" s="16"/>
      <c r="H13" s="16"/>
      <c r="I13" s="16"/>
      <c r="J13" s="16"/>
      <c r="K13" s="16"/>
      <c r="L13" s="15"/>
      <c r="M13" s="15"/>
      <c r="N13" s="15"/>
      <c r="O13" s="15"/>
      <c r="P13" s="15"/>
      <c r="Q13" s="15"/>
      <c r="R13" s="15"/>
      <c r="S13" s="15"/>
      <c r="T13" s="15"/>
      <c r="U13" s="15"/>
      <c r="V13" s="15"/>
      <c r="W13" s="15"/>
    </row>
    <row r="14" spans="1:23">
      <c r="A14" s="6">
        <f>+A12+1</f>
        <v>2</v>
      </c>
      <c r="B14" s="6" t="s">
        <v>829</v>
      </c>
      <c r="F14" s="16">
        <v>-12102023</v>
      </c>
      <c r="G14" s="16">
        <v>-12540794</v>
      </c>
      <c r="H14" s="16">
        <v>-13458451</v>
      </c>
      <c r="I14" s="16">
        <v>-8231610</v>
      </c>
      <c r="J14" s="16">
        <v>-8177677</v>
      </c>
      <c r="K14" s="16">
        <v>-8879484</v>
      </c>
      <c r="L14" s="16">
        <v>-9878534</v>
      </c>
      <c r="M14" s="16">
        <v>-10728842</v>
      </c>
      <c r="N14" s="16">
        <v>-10760185</v>
      </c>
      <c r="O14" s="16">
        <v>-11430194</v>
      </c>
      <c r="P14" s="16">
        <v>-12208218</v>
      </c>
      <c r="Q14" s="16">
        <v>-11781619</v>
      </c>
      <c r="R14" s="16">
        <v>-12424615</v>
      </c>
      <c r="S14" s="15">
        <f>+SUM(F14:R14)/13</f>
        <v>-10969403.538461538</v>
      </c>
      <c r="T14" s="15"/>
      <c r="U14" s="15"/>
      <c r="V14" s="15">
        <f>+S14*V10</f>
        <v>-1743491.1434598635</v>
      </c>
      <c r="W14" s="15"/>
    </row>
    <row r="15" spans="1:23">
      <c r="F15" s="16"/>
      <c r="G15" s="16"/>
      <c r="H15" s="16"/>
      <c r="I15" s="16"/>
      <c r="J15" s="16"/>
      <c r="K15" s="16"/>
      <c r="L15" s="15"/>
      <c r="M15" s="15"/>
      <c r="N15" s="15"/>
      <c r="O15" s="15"/>
      <c r="P15" s="15"/>
      <c r="Q15" s="15"/>
      <c r="R15" s="15"/>
      <c r="S15" s="15"/>
      <c r="T15" s="15"/>
      <c r="U15" s="15"/>
      <c r="V15" s="15"/>
      <c r="W15" s="15"/>
    </row>
    <row r="16" spans="1:23">
      <c r="A16" s="6">
        <f>+A14+1</f>
        <v>3</v>
      </c>
      <c r="B16" s="6" t="s">
        <v>739</v>
      </c>
      <c r="F16" s="16">
        <v>0</v>
      </c>
      <c r="G16" s="16">
        <v>0</v>
      </c>
      <c r="H16" s="16">
        <v>0</v>
      </c>
      <c r="I16" s="16">
        <v>0</v>
      </c>
      <c r="J16" s="16">
        <v>0</v>
      </c>
      <c r="K16" s="16">
        <v>0</v>
      </c>
      <c r="L16" s="16">
        <v>0</v>
      </c>
      <c r="M16" s="16">
        <v>0</v>
      </c>
      <c r="N16" s="16">
        <v>0</v>
      </c>
      <c r="O16" s="16">
        <v>0</v>
      </c>
      <c r="P16" s="16">
        <v>0</v>
      </c>
      <c r="Q16" s="16">
        <v>0</v>
      </c>
      <c r="R16" s="16">
        <v>0</v>
      </c>
      <c r="S16" s="15">
        <f>+SUM(F16:R16)/13</f>
        <v>0</v>
      </c>
      <c r="T16" s="15"/>
      <c r="U16" s="15">
        <f>+S16</f>
        <v>0</v>
      </c>
      <c r="V16" s="15"/>
      <c r="W16" s="15"/>
    </row>
    <row r="17" spans="1:23">
      <c r="F17" s="16"/>
      <c r="G17" s="16"/>
      <c r="H17" s="16"/>
      <c r="I17" s="16"/>
      <c r="J17" s="16"/>
      <c r="K17" s="16"/>
      <c r="L17" s="15"/>
      <c r="M17" s="15"/>
      <c r="N17" s="15"/>
      <c r="O17" s="15"/>
      <c r="P17" s="15"/>
      <c r="Q17" s="15"/>
      <c r="R17" s="15"/>
      <c r="S17" s="15"/>
      <c r="T17" s="15"/>
      <c r="U17" s="15"/>
      <c r="V17" s="15"/>
      <c r="W17" s="15"/>
    </row>
    <row r="18" spans="1:23">
      <c r="A18" s="6">
        <f>+A16+1</f>
        <v>4</v>
      </c>
      <c r="B18" s="6" t="s">
        <v>262</v>
      </c>
      <c r="F18" s="58">
        <v>-4738492</v>
      </c>
      <c r="G18" s="58">
        <v>-5957385</v>
      </c>
      <c r="H18" s="58">
        <v>-5781873</v>
      </c>
      <c r="I18" s="58">
        <v>-3996258</v>
      </c>
      <c r="J18" s="58">
        <v>-3588883</v>
      </c>
      <c r="K18" s="58">
        <v>-3677840</v>
      </c>
      <c r="L18" s="58">
        <v>-4523738</v>
      </c>
      <c r="M18" s="58">
        <v>-4640431</v>
      </c>
      <c r="N18" s="58">
        <v>-4623348</v>
      </c>
      <c r="O18" s="58">
        <v>-4469166</v>
      </c>
      <c r="P18" s="58">
        <v>-4954101</v>
      </c>
      <c r="Q18" s="58">
        <v>-5128666</v>
      </c>
      <c r="R18" s="58">
        <v>-7065378</v>
      </c>
      <c r="S18" s="59">
        <f>+SUM(F18:R18)/13</f>
        <v>-4857350.692307692</v>
      </c>
      <c r="T18" s="15"/>
      <c r="U18" s="15">
        <f>+S18</f>
        <v>-4857350.692307692</v>
      </c>
      <c r="V18" s="15"/>
      <c r="W18" s="15"/>
    </row>
    <row r="19" spans="1:23">
      <c r="F19" s="15"/>
      <c r="G19" s="15"/>
      <c r="H19" s="15"/>
      <c r="I19" s="15"/>
      <c r="J19" s="15"/>
      <c r="K19" s="15"/>
      <c r="L19" s="15"/>
      <c r="M19" s="15"/>
      <c r="N19" s="15"/>
      <c r="O19" s="15"/>
      <c r="P19" s="15"/>
      <c r="Q19" s="15"/>
      <c r="R19" s="15"/>
      <c r="S19" s="15"/>
      <c r="T19" s="15"/>
      <c r="U19" s="15"/>
      <c r="V19" s="15"/>
      <c r="W19" s="15"/>
    </row>
    <row r="20" spans="1:23">
      <c r="A20" s="6">
        <f>+A18+1</f>
        <v>5</v>
      </c>
      <c r="B20" s="6" t="s">
        <v>64</v>
      </c>
      <c r="F20" s="15">
        <f>+SUM(F12:F18)</f>
        <v>-19727280</v>
      </c>
      <c r="G20" s="15">
        <f t="shared" ref="G20:R20" si="0">+SUM(G12:G18)</f>
        <v>-19891599</v>
      </c>
      <c r="H20" s="15">
        <f t="shared" si="0"/>
        <v>-20230865</v>
      </c>
      <c r="I20" s="15">
        <f t="shared" si="0"/>
        <v>-13240101</v>
      </c>
      <c r="J20" s="15">
        <f t="shared" si="0"/>
        <v>-13264401</v>
      </c>
      <c r="K20" s="15">
        <f t="shared" si="0"/>
        <v>-14460596</v>
      </c>
      <c r="L20" s="15">
        <f t="shared" si="0"/>
        <v>-16749481</v>
      </c>
      <c r="M20" s="15">
        <f t="shared" si="0"/>
        <v>-16227007</v>
      </c>
      <c r="N20" s="15">
        <f t="shared" si="0"/>
        <v>-16582459</v>
      </c>
      <c r="O20" s="15">
        <f t="shared" si="0"/>
        <v>-17406005</v>
      </c>
      <c r="P20" s="15">
        <f t="shared" si="0"/>
        <v>-19066077</v>
      </c>
      <c r="Q20" s="15">
        <f t="shared" si="0"/>
        <v>-19113817</v>
      </c>
      <c r="R20" s="15">
        <f t="shared" si="0"/>
        <v>-20208958</v>
      </c>
      <c r="S20" s="15">
        <f>+SUM(S12:S18)</f>
        <v>-17397588.153846152</v>
      </c>
      <c r="T20" s="15"/>
      <c r="U20" s="15">
        <f t="shared" ref="U20:W20" si="1">+SUM(U12:U18)</f>
        <v>-6428184.615384615</v>
      </c>
      <c r="V20" s="15">
        <f>+SUM(V12:V18)</f>
        <v>-1743491.1434598635</v>
      </c>
      <c r="W20" s="15">
        <f t="shared" si="1"/>
        <v>0</v>
      </c>
    </row>
    <row r="21" spans="1:23">
      <c r="F21" s="15"/>
      <c r="G21" s="15"/>
      <c r="H21" s="15"/>
      <c r="I21" s="15"/>
      <c r="J21" s="15"/>
      <c r="K21" s="15"/>
      <c r="L21" s="15"/>
      <c r="M21" s="15"/>
      <c r="N21" s="15"/>
      <c r="O21" s="15"/>
      <c r="P21" s="15"/>
      <c r="Q21" s="15"/>
      <c r="R21" s="15"/>
      <c r="S21" s="15"/>
      <c r="T21" s="15"/>
      <c r="U21" s="15"/>
      <c r="V21" s="15"/>
      <c r="W21" s="15"/>
    </row>
    <row r="22" spans="1:23">
      <c r="A22" s="6">
        <f>+A20+1</f>
        <v>6</v>
      </c>
      <c r="B22" s="6" t="s">
        <v>830</v>
      </c>
      <c r="F22" s="59"/>
      <c r="G22" s="59"/>
      <c r="H22" s="59"/>
      <c r="I22" s="59"/>
      <c r="J22" s="59"/>
      <c r="K22" s="59"/>
      <c r="L22" s="15"/>
      <c r="M22" s="15"/>
      <c r="N22" s="15"/>
      <c r="O22" s="15"/>
      <c r="P22" s="15"/>
      <c r="Q22" s="15"/>
      <c r="R22" s="15"/>
      <c r="S22" s="15"/>
      <c r="T22" s="15"/>
      <c r="U22" s="15"/>
      <c r="V22" s="15"/>
      <c r="W22" s="15">
        <f>+W20+V20</f>
        <v>-1743491.1434598635</v>
      </c>
    </row>
    <row r="23" spans="1:23">
      <c r="F23" s="60"/>
      <c r="G23" s="61"/>
      <c r="H23" s="60"/>
      <c r="I23" s="61"/>
    </row>
    <row r="24" spans="1:23" ht="15">
      <c r="F24" s="19"/>
      <c r="G24" s="19"/>
      <c r="H24" s="19"/>
      <c r="I24" s="19"/>
      <c r="J24" s="19"/>
      <c r="K24" s="19"/>
      <c r="L24" s="19"/>
      <c r="M24" s="62"/>
    </row>
  </sheetData>
  <mergeCells count="4">
    <mergeCell ref="B1:M1"/>
    <mergeCell ref="B2:M2"/>
    <mergeCell ref="B3:M3"/>
    <mergeCell ref="B4:M4"/>
  </mergeCells>
  <pageMargins left="0.7" right="0.7" top="0.75" bottom="0.75" header="0.3" footer="0.3"/>
  <pageSetup scale="57" orientation="landscape" r:id="rId1"/>
  <customProperties>
    <customPr name="_pios_id" r:id="rId2"/>
    <customPr name="EpmWorksheetKeyString_GUID" r:id="rId3"/>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34"/>
  <sheetViews>
    <sheetView topLeftCell="A4" zoomScaleNormal="100" zoomScaleSheetLayoutView="70" workbookViewId="0">
      <selection activeCell="D308" sqref="D308"/>
    </sheetView>
  </sheetViews>
  <sheetFormatPr defaultColWidth="8.7109375" defaultRowHeight="14.25"/>
  <cols>
    <col min="1" max="1" width="6.5703125" style="6" customWidth="1"/>
    <col min="2" max="2" width="63.28515625" style="6" customWidth="1"/>
    <col min="3" max="3" width="19.140625" style="6" customWidth="1"/>
    <col min="4" max="4" width="18.140625" style="6" bestFit="1" customWidth="1"/>
    <col min="5" max="5" width="2" style="6" customWidth="1"/>
    <col min="6" max="6" width="19.42578125" style="6" customWidth="1"/>
    <col min="7" max="7" width="1.7109375" style="6" customWidth="1"/>
    <col min="8" max="8" width="8.7109375" style="6"/>
    <col min="9" max="9" width="19.7109375" style="6" customWidth="1"/>
    <col min="10" max="16384" width="8.7109375" style="6"/>
  </cols>
  <sheetData>
    <row r="1" spans="1:9" ht="15">
      <c r="A1" s="749" t="str">
        <f>+'9 - Excess ADIT'!I2</f>
        <v>Dayton Power and Light</v>
      </c>
      <c r="B1" s="749"/>
      <c r="C1" s="749"/>
      <c r="D1" s="749"/>
      <c r="E1" s="749"/>
      <c r="F1" s="749"/>
      <c r="G1" s="749"/>
    </row>
    <row r="2" spans="1:9" ht="15">
      <c r="A2" s="708" t="str">
        <f>+'9 - Excess ADIT'!I3</f>
        <v xml:space="preserve">ATTACHMENT H-15A </v>
      </c>
      <c r="B2" s="708"/>
      <c r="C2" s="708"/>
      <c r="D2" s="708"/>
      <c r="E2" s="708"/>
      <c r="F2" s="708"/>
      <c r="G2" s="708"/>
    </row>
    <row r="3" spans="1:9" ht="15">
      <c r="A3" s="750" t="s">
        <v>1018</v>
      </c>
      <c r="B3" s="750"/>
      <c r="C3" s="750"/>
      <c r="D3" s="750"/>
      <c r="E3" s="750"/>
      <c r="F3" s="750"/>
      <c r="G3" s="750"/>
    </row>
    <row r="4" spans="1:9" ht="59.45" customHeight="1">
      <c r="A4" s="10"/>
      <c r="F4" s="9"/>
      <c r="I4" s="24"/>
    </row>
    <row r="5" spans="1:9">
      <c r="A5" s="10"/>
    </row>
    <row r="6" spans="1:9">
      <c r="A6" s="10"/>
      <c r="B6" s="6" t="s">
        <v>366</v>
      </c>
    </row>
    <row r="7" spans="1:9" ht="15">
      <c r="A7" s="25"/>
      <c r="B7" s="26"/>
      <c r="C7" s="25"/>
      <c r="D7" s="27" t="s">
        <v>300</v>
      </c>
      <c r="E7" s="25"/>
      <c r="F7" s="27" t="s">
        <v>301</v>
      </c>
      <c r="G7" s="25"/>
    </row>
    <row r="8" spans="1:9">
      <c r="F8" s="17" t="s">
        <v>740</v>
      </c>
      <c r="G8" s="26"/>
    </row>
    <row r="9" spans="1:9">
      <c r="D9" s="17" t="s">
        <v>227</v>
      </c>
      <c r="F9" s="28"/>
    </row>
    <row r="10" spans="1:9">
      <c r="A10" s="17" t="s">
        <v>741</v>
      </c>
      <c r="D10" s="17" t="s">
        <v>742</v>
      </c>
      <c r="F10" s="17" t="s">
        <v>227</v>
      </c>
    </row>
    <row r="11" spans="1:9">
      <c r="A11" s="18" t="s">
        <v>743</v>
      </c>
      <c r="B11" s="29" t="s">
        <v>690</v>
      </c>
      <c r="C11" s="18" t="s">
        <v>744</v>
      </c>
      <c r="D11" s="18" t="s">
        <v>745</v>
      </c>
      <c r="F11" s="18" t="s">
        <v>746</v>
      </c>
    </row>
    <row r="12" spans="1:9">
      <c r="F12" s="18"/>
    </row>
    <row r="13" spans="1:9">
      <c r="A13" s="30">
        <v>1</v>
      </c>
      <c r="B13" s="31" t="s">
        <v>747</v>
      </c>
      <c r="C13" s="32"/>
      <c r="D13" s="33"/>
      <c r="E13" s="33"/>
      <c r="F13" s="34"/>
    </row>
    <row r="14" spans="1:9">
      <c r="A14" s="30">
        <f>+A13+1</f>
        <v>2</v>
      </c>
      <c r="B14" s="6" t="s">
        <v>748</v>
      </c>
      <c r="C14" s="32"/>
      <c r="D14" s="33"/>
      <c r="E14" s="33"/>
      <c r="F14" s="35">
        <v>0</v>
      </c>
    </row>
    <row r="15" spans="1:9">
      <c r="A15" s="30"/>
      <c r="D15" s="33"/>
      <c r="E15" s="33"/>
      <c r="F15" s="36"/>
    </row>
    <row r="16" spans="1:9">
      <c r="A16" s="30">
        <f>+A14+1</f>
        <v>3</v>
      </c>
      <c r="B16" s="37" t="s">
        <v>749</v>
      </c>
      <c r="C16" s="32"/>
      <c r="D16" s="32"/>
      <c r="E16" s="33"/>
      <c r="F16" s="38">
        <v>0</v>
      </c>
    </row>
    <row r="17" spans="1:6">
      <c r="A17" s="30">
        <f t="shared" ref="A17:A27" si="0">+A16+1</f>
        <v>4</v>
      </c>
      <c r="B17" s="37" t="s">
        <v>750</v>
      </c>
      <c r="C17" s="32"/>
      <c r="D17" s="32"/>
      <c r="E17" s="33"/>
      <c r="F17" s="35">
        <v>0</v>
      </c>
    </row>
    <row r="18" spans="1:6">
      <c r="A18" s="30"/>
      <c r="E18" s="33"/>
      <c r="F18" s="36"/>
    </row>
    <row r="19" spans="1:6">
      <c r="A19" s="30">
        <f>+A17+1</f>
        <v>5</v>
      </c>
      <c r="B19" s="6" t="s">
        <v>751</v>
      </c>
      <c r="C19" s="6" t="str">
        <f>"(Line "&amp;A16&amp;" + Line "&amp;A17&amp;")"</f>
        <v>(Line 3 + Line 4)</v>
      </c>
      <c r="E19" s="33"/>
      <c r="F19" s="39">
        <f>+F16+F17</f>
        <v>0</v>
      </c>
    </row>
    <row r="20" spans="1:6">
      <c r="A20" s="30"/>
      <c r="D20" s="33"/>
      <c r="E20" s="33"/>
      <c r="F20" s="36"/>
    </row>
    <row r="21" spans="1:6">
      <c r="A21" s="30">
        <f>+A19+1</f>
        <v>6</v>
      </c>
      <c r="B21" s="6" t="s">
        <v>752</v>
      </c>
      <c r="C21" s="6" t="str">
        <f>"(Line "&amp;A14&amp;" + Line "&amp;A19&amp;")"</f>
        <v>(Line 2 + Line 5)</v>
      </c>
      <c r="D21" s="33"/>
      <c r="E21" s="33"/>
      <c r="F21" s="36">
        <f>+F14+F19</f>
        <v>0</v>
      </c>
    </row>
    <row r="22" spans="1:6">
      <c r="A22" s="30"/>
      <c r="D22" s="33"/>
      <c r="E22" s="33"/>
      <c r="F22" s="36"/>
    </row>
    <row r="23" spans="1:6">
      <c r="A23" s="30">
        <f>+A21+1</f>
        <v>7</v>
      </c>
      <c r="B23" s="6" t="s">
        <v>751</v>
      </c>
      <c r="C23" s="6" t="str">
        <f>"(Line "&amp;A19&amp;")"</f>
        <v>(Line 5)</v>
      </c>
      <c r="D23" s="33"/>
      <c r="E23" s="33"/>
      <c r="F23" s="36">
        <f>+F19</f>
        <v>0</v>
      </c>
    </row>
    <row r="24" spans="1:6">
      <c r="A24" s="30"/>
    </row>
    <row r="25" spans="1:6">
      <c r="A25" s="30">
        <f>+A23+1</f>
        <v>8</v>
      </c>
      <c r="B25" s="6" t="s">
        <v>753</v>
      </c>
      <c r="C25" s="6" t="s">
        <v>669</v>
      </c>
      <c r="F25" s="40">
        <v>0</v>
      </c>
    </row>
    <row r="26" spans="1:6">
      <c r="A26" s="30">
        <f t="shared" si="0"/>
        <v>9</v>
      </c>
      <c r="B26" s="6" t="s">
        <v>754</v>
      </c>
      <c r="C26" s="6" t="s">
        <v>755</v>
      </c>
      <c r="F26" s="38">
        <v>0</v>
      </c>
    </row>
    <row r="27" spans="1:6">
      <c r="A27" s="30">
        <f t="shared" si="0"/>
        <v>10</v>
      </c>
      <c r="B27" s="6" t="s">
        <v>756</v>
      </c>
      <c r="C27" s="6" t="s">
        <v>757</v>
      </c>
      <c r="F27" s="39">
        <f>+F23*F25*F26</f>
        <v>0</v>
      </c>
    </row>
    <row r="28" spans="1:6">
      <c r="A28" s="30"/>
      <c r="F28" s="19"/>
    </row>
    <row r="29" spans="1:6">
      <c r="A29" s="30">
        <f>+A27+1</f>
        <v>11</v>
      </c>
      <c r="B29" s="6" t="s">
        <v>758</v>
      </c>
      <c r="C29" s="6" t="s">
        <v>759</v>
      </c>
      <c r="F29" s="36">
        <f>+F23+F27</f>
        <v>0</v>
      </c>
    </row>
    <row r="30" spans="1:6">
      <c r="A30" s="30"/>
    </row>
    <row r="32" spans="1:6">
      <c r="A32" s="41" t="s">
        <v>760</v>
      </c>
    </row>
    <row r="33" spans="1:7" ht="43.9" customHeight="1">
      <c r="A33" s="42" t="s">
        <v>194</v>
      </c>
      <c r="B33" s="748" t="s">
        <v>761</v>
      </c>
      <c r="C33" s="748"/>
      <c r="D33" s="748"/>
      <c r="E33" s="748"/>
      <c r="F33" s="748"/>
      <c r="G33" s="43"/>
    </row>
    <row r="34" spans="1:7" ht="54" customHeight="1">
      <c r="A34" s="42" t="s">
        <v>196</v>
      </c>
      <c r="B34" s="748" t="s">
        <v>762</v>
      </c>
      <c r="C34" s="748"/>
      <c r="D34" s="748"/>
      <c r="E34" s="748"/>
      <c r="F34" s="748"/>
      <c r="G34" s="43"/>
    </row>
  </sheetData>
  <mergeCells count="5">
    <mergeCell ref="B33:F33"/>
    <mergeCell ref="B34:F34"/>
    <mergeCell ref="A1:G1"/>
    <mergeCell ref="A2:G2"/>
    <mergeCell ref="A3:G3"/>
  </mergeCells>
  <pageMargins left="0.7" right="0.7" top="0.75" bottom="0.75" header="0.3" footer="0.3"/>
  <pageSetup scale="86" orientation="landscape" r:id="rId1"/>
  <customProperties>
    <customPr name="_pios_id" r:id="rId2"/>
    <customPr name="EpmWorksheetKeyString_GUID" r:id="rId3"/>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27"/>
  <sheetViews>
    <sheetView zoomScaleNormal="100" workbookViewId="0">
      <selection activeCell="R18" sqref="R18"/>
    </sheetView>
  </sheetViews>
  <sheetFormatPr defaultColWidth="8.7109375" defaultRowHeight="14.25"/>
  <cols>
    <col min="1" max="1" width="3.85546875" style="6" customWidth="1"/>
    <col min="2" max="2" width="4.28515625" style="6" customWidth="1"/>
    <col min="3" max="9" width="8.7109375" style="6"/>
    <col min="10" max="10" width="15.5703125" style="6" bestFit="1" customWidth="1"/>
    <col min="11" max="11" width="5.140625" style="6" customWidth="1"/>
    <col min="12" max="12" width="20.5703125" style="6" bestFit="1" customWidth="1"/>
    <col min="13" max="13" width="8.28515625" style="17" bestFit="1" customWidth="1"/>
    <col min="14" max="16384" width="8.7109375" style="6"/>
  </cols>
  <sheetData>
    <row r="1" spans="1:13">
      <c r="F1" s="17" t="s">
        <v>0</v>
      </c>
    </row>
    <row r="2" spans="1:13">
      <c r="F2" s="17" t="s">
        <v>763</v>
      </c>
    </row>
    <row r="3" spans="1:13">
      <c r="F3" s="17" t="s">
        <v>792</v>
      </c>
    </row>
    <row r="6" spans="1:13">
      <c r="A6" s="6" t="s">
        <v>741</v>
      </c>
      <c r="L6" s="17" t="s">
        <v>764</v>
      </c>
      <c r="M6" s="17" t="s">
        <v>765</v>
      </c>
    </row>
    <row r="7" spans="1:13">
      <c r="B7" s="6" t="s">
        <v>673</v>
      </c>
      <c r="L7" s="18" t="s">
        <v>766</v>
      </c>
      <c r="M7" s="18" t="s">
        <v>767</v>
      </c>
    </row>
    <row r="8" spans="1:13">
      <c r="A8" s="17">
        <v>1</v>
      </c>
      <c r="C8" s="6" t="s">
        <v>768</v>
      </c>
      <c r="J8" s="14">
        <v>17639</v>
      </c>
      <c r="L8" s="17" t="s">
        <v>769</v>
      </c>
      <c r="M8" s="17">
        <v>561.1</v>
      </c>
    </row>
    <row r="9" spans="1:13">
      <c r="A9" s="17"/>
      <c r="J9" s="19"/>
      <c r="L9" s="17"/>
    </row>
    <row r="10" spans="1:13">
      <c r="A10" s="17">
        <f>+A8+1</f>
        <v>2</v>
      </c>
      <c r="C10" s="6" t="s">
        <v>770</v>
      </c>
      <c r="J10" s="14">
        <v>1009357</v>
      </c>
      <c r="L10" s="17" t="s">
        <v>771</v>
      </c>
      <c r="M10" s="17">
        <v>561.20000000000005</v>
      </c>
    </row>
    <row r="11" spans="1:13">
      <c r="A11" s="17"/>
      <c r="J11" s="19"/>
      <c r="L11" s="17"/>
    </row>
    <row r="12" spans="1:13">
      <c r="A12" s="17">
        <f>+A10+1</f>
        <v>3</v>
      </c>
      <c r="C12" s="6" t="s">
        <v>772</v>
      </c>
      <c r="J12" s="14">
        <v>0</v>
      </c>
      <c r="L12" s="17" t="s">
        <v>773</v>
      </c>
      <c r="M12" s="17">
        <v>561.29999999999995</v>
      </c>
    </row>
    <row r="13" spans="1:13">
      <c r="A13" s="17"/>
      <c r="J13" s="20"/>
      <c r="L13" s="17"/>
    </row>
    <row r="14" spans="1:13" ht="16.5">
      <c r="A14" s="17">
        <f>+A12+1</f>
        <v>4</v>
      </c>
      <c r="C14" s="6" t="s">
        <v>774</v>
      </c>
      <c r="J14" s="21">
        <f>+SUM([31]Sheet1!$B$26:$B$37)</f>
        <v>92967.54</v>
      </c>
      <c r="L14" s="17" t="s">
        <v>775</v>
      </c>
    </row>
    <row r="15" spans="1:13">
      <c r="A15" s="17"/>
      <c r="L15" s="17"/>
    </row>
    <row r="16" spans="1:13" ht="28.9" customHeight="1">
      <c r="A16" s="17">
        <f>+A14+1</f>
        <v>5</v>
      </c>
      <c r="C16" s="6" t="s">
        <v>64</v>
      </c>
      <c r="J16" s="19">
        <f>+SUM(J8:J14)</f>
        <v>1119963.54</v>
      </c>
      <c r="L16" s="22" t="str">
        <f>"(Line "&amp;A8&amp;" + Line "&amp;A10&amp;" + Line "&amp;A12&amp;" + Line "&amp;A14&amp;")"</f>
        <v>(Line 1 + Line 2 + Line 3 + Line 4)</v>
      </c>
    </row>
    <row r="17" spans="1:12">
      <c r="A17" s="17"/>
      <c r="J17" s="19"/>
      <c r="L17" s="17"/>
    </row>
    <row r="18" spans="1:12" ht="57">
      <c r="A18" s="17">
        <f>+A16+1</f>
        <v>6</v>
      </c>
      <c r="B18" s="6" t="s">
        <v>776</v>
      </c>
      <c r="J18" s="14">
        <v>13873833</v>
      </c>
      <c r="L18" s="22" t="s">
        <v>777</v>
      </c>
    </row>
    <row r="19" spans="1:12">
      <c r="A19" s="17"/>
      <c r="L19" s="17"/>
    </row>
    <row r="20" spans="1:12">
      <c r="A20" s="17">
        <f>+A18+1</f>
        <v>7</v>
      </c>
      <c r="B20" s="6" t="s">
        <v>778</v>
      </c>
      <c r="J20" s="23">
        <f>+J16/J18</f>
        <v>8.0724882590124877E-2</v>
      </c>
      <c r="L20" s="17" t="str">
        <f>"(Line "&amp;A16&amp;" / Line "&amp;A18&amp;")"</f>
        <v>(Line 5 / Line 6)</v>
      </c>
    </row>
    <row r="21" spans="1:12">
      <c r="A21" s="17"/>
    </row>
    <row r="22" spans="1:12">
      <c r="A22" s="17"/>
    </row>
    <row r="23" spans="1:12">
      <c r="A23" s="17"/>
    </row>
    <row r="24" spans="1:12">
      <c r="A24" s="17"/>
    </row>
    <row r="25" spans="1:12">
      <c r="A25" s="17"/>
    </row>
    <row r="26" spans="1:12">
      <c r="A26" s="17"/>
    </row>
    <row r="27" spans="1:12">
      <c r="A27" s="17"/>
    </row>
  </sheetData>
  <pageMargins left="0.7" right="0.7" top="0.75" bottom="0.75" header="0.3" footer="0.3"/>
  <pageSetup scale="77" orientation="portrait" verticalDpi="120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121"/>
  <sheetViews>
    <sheetView showGridLines="0" zoomScale="70" zoomScaleNormal="70" zoomScaleSheetLayoutView="70" workbookViewId="0">
      <selection activeCell="B4" sqref="B4"/>
    </sheetView>
  </sheetViews>
  <sheetFormatPr defaultColWidth="18.7109375" defaultRowHeight="14.25"/>
  <cols>
    <col min="1" max="1" width="5.5703125" style="6" customWidth="1"/>
    <col min="2" max="2" width="65.7109375" style="10" customWidth="1"/>
    <col min="3" max="3" width="60.5703125" style="6" bestFit="1" customWidth="1"/>
    <col min="4" max="4" width="22.7109375" style="6" customWidth="1"/>
    <col min="5" max="5" width="28.7109375" style="6" customWidth="1"/>
    <col min="6" max="6" width="24.28515625" style="6" customWidth="1"/>
    <col min="7" max="7" width="24" style="6" bestFit="1" customWidth="1"/>
    <col min="8" max="8" width="24" style="6" customWidth="1"/>
    <col min="9" max="9" width="124.7109375" style="6" customWidth="1"/>
    <col min="10" max="16384" width="18.7109375" style="6"/>
  </cols>
  <sheetData>
    <row r="1" spans="1:9" ht="15">
      <c r="B1" s="711" t="str">
        <f>+'Appendix A'!A3</f>
        <v>Dayton Power and Light</v>
      </c>
      <c r="C1" s="711"/>
      <c r="D1" s="711"/>
      <c r="E1" s="711"/>
      <c r="F1" s="711"/>
      <c r="G1" s="711"/>
      <c r="H1" s="711"/>
      <c r="I1" s="711"/>
    </row>
    <row r="2" spans="1:9" ht="15">
      <c r="B2" s="711" t="s">
        <v>1</v>
      </c>
      <c r="C2" s="711"/>
      <c r="D2" s="711"/>
      <c r="E2" s="711"/>
      <c r="F2" s="711"/>
      <c r="G2" s="711"/>
      <c r="H2" s="711"/>
      <c r="I2" s="711"/>
    </row>
    <row r="3" spans="1:9" ht="15">
      <c r="B3" s="711" t="s">
        <v>1006</v>
      </c>
      <c r="C3" s="711"/>
      <c r="D3" s="711"/>
      <c r="E3" s="711"/>
      <c r="F3" s="711"/>
      <c r="G3" s="711"/>
      <c r="H3" s="711"/>
      <c r="I3" s="711"/>
    </row>
    <row r="4" spans="1:9" ht="20.25">
      <c r="A4" s="700"/>
      <c r="B4" s="701" t="s">
        <v>1024</v>
      </c>
    </row>
    <row r="5" spans="1:9">
      <c r="B5" s="339"/>
      <c r="C5" s="336"/>
      <c r="D5" s="441" t="s">
        <v>223</v>
      </c>
      <c r="E5" s="441"/>
      <c r="G5" s="441"/>
      <c r="H5" s="441"/>
      <c r="I5" s="24"/>
    </row>
    <row r="6" spans="1:9">
      <c r="D6" s="441" t="s">
        <v>224</v>
      </c>
      <c r="E6" s="441" t="s">
        <v>225</v>
      </c>
      <c r="F6" s="441" t="s">
        <v>226</v>
      </c>
      <c r="G6" s="441"/>
      <c r="H6" s="441" t="s">
        <v>64</v>
      </c>
      <c r="I6" s="442"/>
    </row>
    <row r="7" spans="1:9">
      <c r="D7" s="441" t="s">
        <v>228</v>
      </c>
      <c r="E7" s="441" t="s">
        <v>228</v>
      </c>
      <c r="F7" s="441" t="s">
        <v>228</v>
      </c>
      <c r="G7" s="441"/>
      <c r="H7" s="441" t="s">
        <v>229</v>
      </c>
      <c r="I7" s="442"/>
    </row>
    <row r="8" spans="1:9" s="443" customFormat="1"/>
    <row r="9" spans="1:9" ht="15">
      <c r="A9" s="17">
        <v>1</v>
      </c>
      <c r="C9" s="45" t="s">
        <v>230</v>
      </c>
      <c r="D9" s="444">
        <f>+E45</f>
        <v>0</v>
      </c>
      <c r="E9" s="444">
        <f>+F45</f>
        <v>0</v>
      </c>
      <c r="F9" s="444">
        <f>+G45</f>
        <v>0</v>
      </c>
      <c r="G9" s="444"/>
      <c r="H9" s="444"/>
      <c r="I9" s="122" t="str">
        <f>"(Line "&amp;A45&amp;")"</f>
        <v>(Line 26)</v>
      </c>
    </row>
    <row r="10" spans="1:9" ht="15">
      <c r="A10" s="17">
        <f>+A9+1</f>
        <v>2</v>
      </c>
      <c r="C10" s="45" t="s">
        <v>231</v>
      </c>
      <c r="D10" s="444">
        <f>+E64</f>
        <v>0</v>
      </c>
      <c r="E10" s="444">
        <f t="shared" ref="E10:F10" si="0">+F64</f>
        <v>0</v>
      </c>
      <c r="F10" s="444">
        <f t="shared" si="0"/>
        <v>0</v>
      </c>
      <c r="G10" s="444"/>
      <c r="H10" s="444"/>
      <c r="I10" s="122" t="str">
        <f>"(Line "&amp;A64&amp;")"</f>
        <v>(Line 29)</v>
      </c>
    </row>
    <row r="11" spans="1:9" ht="15">
      <c r="A11" s="17">
        <f>+A10+1</f>
        <v>3</v>
      </c>
      <c r="C11" s="45" t="s">
        <v>232</v>
      </c>
      <c r="D11" s="502">
        <f>+E92</f>
        <v>0</v>
      </c>
      <c r="E11" s="502">
        <f t="shared" ref="E11:F11" si="1">+F92</f>
        <v>0</v>
      </c>
      <c r="F11" s="502">
        <f t="shared" si="1"/>
        <v>0</v>
      </c>
      <c r="G11" s="502"/>
      <c r="H11" s="444"/>
      <c r="I11" s="122" t="str">
        <f>"(Line "&amp;A92&amp;")"</f>
        <v>(Line 38)</v>
      </c>
    </row>
    <row r="12" spans="1:9" ht="15">
      <c r="A12" s="17">
        <f t="shared" ref="A12:A17" si="2">+A11+1</f>
        <v>4</v>
      </c>
      <c r="C12" s="45" t="s">
        <v>84</v>
      </c>
      <c r="D12" s="444">
        <f>+SUM(D9:D11)</f>
        <v>0</v>
      </c>
      <c r="E12" s="444">
        <f t="shared" ref="E12:F12" si="3">+SUM(E9:E11)</f>
        <v>0</v>
      </c>
      <c r="F12" s="444">
        <f t="shared" si="3"/>
        <v>0</v>
      </c>
      <c r="G12" s="444"/>
      <c r="H12" s="444"/>
      <c r="I12" s="122" t="str">
        <f>"(Line "&amp;A9&amp;" + Line "&amp;A10&amp;" + Line "&amp;A11&amp;")"</f>
        <v>(Line 1 + Line 2 + Line 3)</v>
      </c>
    </row>
    <row r="13" spans="1:9" ht="15">
      <c r="A13" s="17">
        <f t="shared" si="2"/>
        <v>5</v>
      </c>
      <c r="C13" s="45" t="s">
        <v>12</v>
      </c>
      <c r="F13" s="440">
        <f>'Appendix A'!H16</f>
        <v>0.15894128950099584</v>
      </c>
      <c r="I13" s="350" t="str">
        <f>"(Appendix A, Line "&amp;'Appendix A'!A16&amp;")"</f>
        <v>(Appendix A, Line 5)</v>
      </c>
    </row>
    <row r="14" spans="1:9" ht="15">
      <c r="A14" s="17">
        <f t="shared" si="2"/>
        <v>6</v>
      </c>
      <c r="C14" s="45" t="s">
        <v>20</v>
      </c>
      <c r="E14" s="440">
        <f>'Appendix A'!H27</f>
        <v>0.16033498951641173</v>
      </c>
      <c r="I14" s="350" t="str">
        <f>"(Appendix A, Line "&amp;'Appendix A'!A27&amp;")"</f>
        <v>(Appendix A, Line 12)</v>
      </c>
    </row>
    <row r="15" spans="1:9" ht="15">
      <c r="A15" s="17">
        <f>+A14+1</f>
        <v>7</v>
      </c>
      <c r="C15" s="45" t="s">
        <v>233</v>
      </c>
      <c r="D15" s="444">
        <f>+D12</f>
        <v>0</v>
      </c>
      <c r="E15" s="444">
        <f>+E14*E12</f>
        <v>0</v>
      </c>
      <c r="F15" s="444">
        <f>+F13*F12</f>
        <v>0</v>
      </c>
      <c r="G15" s="444"/>
      <c r="H15" s="445">
        <f>SUM(D15:F15)</f>
        <v>0</v>
      </c>
      <c r="I15" s="122" t="str">
        <f>"(Line "&amp;A12&amp;" * Line "&amp;A13&amp;" or Line "&amp;A14&amp;")"</f>
        <v>(Line 4 * Line 5 or Line 6)</v>
      </c>
    </row>
    <row r="16" spans="1:9" ht="15">
      <c r="A16" s="17">
        <f t="shared" si="2"/>
        <v>8</v>
      </c>
      <c r="C16" s="45" t="s">
        <v>234</v>
      </c>
      <c r="D16" s="444">
        <f>+'1C - ADIT Prior Year'!D15</f>
        <v>-2517076</v>
      </c>
      <c r="E16" s="444">
        <f>+'1C - ADIT Prior Year'!E15</f>
        <v>69310.410943102048</v>
      </c>
      <c r="F16" s="444">
        <f>+'1C - ADIT Prior Year'!F15</f>
        <v>725646.8402653042</v>
      </c>
      <c r="G16" s="444"/>
      <c r="H16" s="445">
        <f t="shared" ref="H16:H17" si="4">SUM(D16:F16)</f>
        <v>-1722118.7487915936</v>
      </c>
      <c r="I16" s="122" t="str">
        <f>"(Attachment 1C - ADIT Prior Year, Line "&amp;A15&amp;")"</f>
        <v>(Attachment 1C - ADIT Prior Year, Line 7)</v>
      </c>
    </row>
    <row r="17" spans="1:21" ht="15">
      <c r="A17" s="17">
        <f t="shared" si="2"/>
        <v>9</v>
      </c>
      <c r="C17" s="45" t="s">
        <v>235</v>
      </c>
      <c r="D17" s="444">
        <f>(D15+D16)/2</f>
        <v>-1258538</v>
      </c>
      <c r="E17" s="444">
        <f>(E15+E16)/2</f>
        <v>34655.205471551024</v>
      </c>
      <c r="F17" s="444">
        <f>(F15+F16)/2</f>
        <v>362823.4201326521</v>
      </c>
      <c r="G17" s="444"/>
      <c r="H17" s="445">
        <f t="shared" si="4"/>
        <v>-861059.3743957968</v>
      </c>
      <c r="I17" s="122" t="str">
        <f>"(Average of Line "&amp;A15&amp;" + Line "&amp;A16&amp;")"</f>
        <v>(Average of Line 7 + Line 8)</v>
      </c>
      <c r="J17" s="19"/>
    </row>
    <row r="18" spans="1:21" ht="15">
      <c r="A18" s="17">
        <f>+A17+1</f>
        <v>10</v>
      </c>
      <c r="C18" s="45" t="s">
        <v>236</v>
      </c>
      <c r="D18" s="502">
        <f>+'1B - ADIT Proration'!J24</f>
        <v>0</v>
      </c>
      <c r="E18" s="502">
        <f>+'1B - ADIT Proration'!N24</f>
        <v>0</v>
      </c>
      <c r="F18" s="502">
        <f>+'1B - ADIT Proration'!R24</f>
        <v>0</v>
      </c>
      <c r="G18" s="444"/>
      <c r="H18" s="533">
        <f>+D18+E18+F18</f>
        <v>0</v>
      </c>
      <c r="I18" s="122" t="str">
        <f>"(Attachment 1B, Line "&amp;'1B - ADIT Proration'!A24&amp;")"</f>
        <v>(Attachment 1B, Line 14)</v>
      </c>
    </row>
    <row r="19" spans="1:21" ht="15">
      <c r="A19" s="17">
        <f>+A18+1</f>
        <v>11</v>
      </c>
      <c r="C19" s="446" t="s">
        <v>237</v>
      </c>
      <c r="D19" s="444">
        <f>+D17+D18</f>
        <v>-1258538</v>
      </c>
      <c r="E19" s="444">
        <f>+E17+E18</f>
        <v>34655.205471551024</v>
      </c>
      <c r="F19" s="444">
        <f>+F17+F18</f>
        <v>362823.4201326521</v>
      </c>
      <c r="G19" s="445"/>
      <c r="H19" s="445">
        <v>0</v>
      </c>
      <c r="I19" s="122" t="str">
        <f>"(Line "&amp;A17&amp;" + Line "&amp;A18&amp;")"</f>
        <v>(Line 9 + Line 10)</v>
      </c>
    </row>
    <row r="20" spans="1:21" ht="15">
      <c r="C20" s="446"/>
      <c r="D20" s="444"/>
      <c r="E20" s="444"/>
      <c r="F20" s="444"/>
      <c r="G20" s="445"/>
      <c r="H20" s="445"/>
      <c r="I20" s="534"/>
    </row>
    <row r="21" spans="1:21" ht="15">
      <c r="C21" s="446"/>
      <c r="D21" s="444"/>
      <c r="E21" s="444"/>
      <c r="F21" s="444"/>
      <c r="G21" s="445"/>
      <c r="H21" s="445"/>
      <c r="I21" s="534"/>
    </row>
    <row r="22" spans="1:21" ht="15">
      <c r="B22" s="45"/>
    </row>
    <row r="23" spans="1:21">
      <c r="B23" s="6" t="s">
        <v>238</v>
      </c>
      <c r="D23" s="444"/>
    </row>
    <row r="24" spans="1:21">
      <c r="B24" s="6"/>
    </row>
    <row r="25" spans="1:21">
      <c r="B25" s="10" t="s">
        <v>938</v>
      </c>
    </row>
    <row r="26" spans="1:21">
      <c r="B26" s="10" t="s">
        <v>239</v>
      </c>
    </row>
    <row r="27" spans="1:21">
      <c r="G27" s="446"/>
      <c r="H27" s="446"/>
    </row>
    <row r="28" spans="1:21" ht="15">
      <c r="B28" s="11" t="s">
        <v>194</v>
      </c>
      <c r="C28" s="11" t="s">
        <v>196</v>
      </c>
      <c r="D28" s="11" t="s">
        <v>197</v>
      </c>
      <c r="E28" s="11" t="s">
        <v>198</v>
      </c>
      <c r="F28" s="11" t="s">
        <v>200</v>
      </c>
      <c r="G28" s="11" t="s">
        <v>202</v>
      </c>
      <c r="H28" s="11"/>
      <c r="I28" s="11" t="s">
        <v>204</v>
      </c>
    </row>
    <row r="29" spans="1:21">
      <c r="B29" s="447" t="s">
        <v>240</v>
      </c>
      <c r="C29" s="441"/>
      <c r="D29" s="441"/>
      <c r="E29" s="441" t="s">
        <v>224</v>
      </c>
      <c r="F29" s="441" t="s">
        <v>225</v>
      </c>
      <c r="G29" s="441" t="s">
        <v>226</v>
      </c>
      <c r="H29" s="441"/>
    </row>
    <row r="30" spans="1:21" ht="14.45" customHeight="1" thickBot="1">
      <c r="C30" s="441" t="s">
        <v>64</v>
      </c>
      <c r="D30" s="441" t="s">
        <v>241</v>
      </c>
      <c r="E30" s="441" t="s">
        <v>228</v>
      </c>
      <c r="F30" s="441" t="s">
        <v>228</v>
      </c>
      <c r="G30" s="441" t="s">
        <v>228</v>
      </c>
      <c r="H30" s="448"/>
      <c r="I30" s="441" t="s">
        <v>242</v>
      </c>
    </row>
    <row r="31" spans="1:21" ht="28.5" customHeight="1" thickBot="1">
      <c r="A31" s="17">
        <f>+A19+1</f>
        <v>12</v>
      </c>
      <c r="B31" s="449" t="s">
        <v>243</v>
      </c>
      <c r="C31" s="450">
        <v>0</v>
      </c>
      <c r="D31" s="451">
        <v>0</v>
      </c>
      <c r="E31" s="451">
        <v>0</v>
      </c>
      <c r="F31" s="451">
        <v>0</v>
      </c>
      <c r="G31" s="451">
        <f>+C31</f>
        <v>0</v>
      </c>
      <c r="H31" s="452"/>
      <c r="I31" s="453" t="s">
        <v>244</v>
      </c>
      <c r="Q31" s="535"/>
      <c r="R31" s="535"/>
      <c r="S31" s="535"/>
      <c r="T31" s="535"/>
      <c r="U31" s="535"/>
    </row>
    <row r="32" spans="1:21" ht="28.5" customHeight="1" thickBot="1">
      <c r="A32" s="17">
        <f>+A31+1</f>
        <v>13</v>
      </c>
      <c r="B32" s="454" t="s">
        <v>245</v>
      </c>
      <c r="C32" s="455">
        <v>0</v>
      </c>
      <c r="D32" s="456">
        <f>+C32</f>
        <v>0</v>
      </c>
      <c r="E32" s="456">
        <v>0</v>
      </c>
      <c r="F32" s="456">
        <v>0</v>
      </c>
      <c r="G32" s="451">
        <v>0</v>
      </c>
      <c r="H32" s="457"/>
      <c r="I32" s="453" t="s">
        <v>246</v>
      </c>
      <c r="Q32" s="535"/>
      <c r="R32" s="535"/>
      <c r="S32" s="535"/>
      <c r="T32" s="535"/>
      <c r="U32" s="535"/>
    </row>
    <row r="33" spans="1:21" ht="39.75" customHeight="1">
      <c r="A33" s="17">
        <f t="shared" ref="A33:A44" si="5">+A32+1</f>
        <v>14</v>
      </c>
      <c r="B33" s="454" t="s">
        <v>247</v>
      </c>
      <c r="C33" s="455">
        <v>0</v>
      </c>
      <c r="D33" s="456">
        <v>0</v>
      </c>
      <c r="E33" s="456">
        <v>0</v>
      </c>
      <c r="F33" s="456">
        <v>0</v>
      </c>
      <c r="G33" s="451">
        <f t="shared" ref="G33" si="6">+C33</f>
        <v>0</v>
      </c>
      <c r="H33" s="457"/>
      <c r="I33" s="453" t="s">
        <v>244</v>
      </c>
      <c r="Q33" s="535"/>
      <c r="R33" s="535"/>
      <c r="S33" s="535"/>
      <c r="T33" s="535"/>
      <c r="U33" s="535"/>
    </row>
    <row r="34" spans="1:21" ht="39.75" customHeight="1">
      <c r="A34" s="17">
        <f t="shared" si="5"/>
        <v>15</v>
      </c>
      <c r="B34" s="458" t="s">
        <v>248</v>
      </c>
      <c r="C34" s="455">
        <v>0</v>
      </c>
      <c r="D34" s="456">
        <v>0</v>
      </c>
      <c r="E34" s="456">
        <v>0</v>
      </c>
      <c r="F34" s="456">
        <f>+C34</f>
        <v>0</v>
      </c>
      <c r="G34" s="456">
        <v>0</v>
      </c>
      <c r="H34" s="457"/>
      <c r="I34" s="459" t="s">
        <v>249</v>
      </c>
      <c r="Q34" s="535"/>
      <c r="R34" s="535"/>
      <c r="S34" s="535"/>
      <c r="T34" s="535"/>
      <c r="U34" s="535"/>
    </row>
    <row r="35" spans="1:21" ht="39.75" customHeight="1">
      <c r="A35" s="17">
        <f t="shared" si="5"/>
        <v>16</v>
      </c>
      <c r="B35" s="454" t="s">
        <v>250</v>
      </c>
      <c r="C35" s="455">
        <v>0</v>
      </c>
      <c r="D35" s="456">
        <v>0</v>
      </c>
      <c r="E35" s="456">
        <v>0</v>
      </c>
      <c r="F35" s="456">
        <v>0</v>
      </c>
      <c r="G35" s="456">
        <f>+C35</f>
        <v>0</v>
      </c>
      <c r="H35" s="457"/>
      <c r="I35" s="453" t="s">
        <v>251</v>
      </c>
      <c r="Q35" s="535"/>
      <c r="R35" s="535"/>
      <c r="S35" s="535"/>
      <c r="T35" s="535"/>
      <c r="U35" s="535"/>
    </row>
    <row r="36" spans="1:21" ht="39.75" customHeight="1">
      <c r="A36" s="17">
        <f t="shared" si="5"/>
        <v>17</v>
      </c>
      <c r="B36" s="454" t="s">
        <v>252</v>
      </c>
      <c r="C36" s="455">
        <v>0</v>
      </c>
      <c r="D36" s="456">
        <f>+C36</f>
        <v>0</v>
      </c>
      <c r="E36" s="456">
        <v>0</v>
      </c>
      <c r="F36" s="456">
        <v>0</v>
      </c>
      <c r="G36" s="456">
        <v>0</v>
      </c>
      <c r="H36" s="457"/>
      <c r="I36" s="453" t="s">
        <v>253</v>
      </c>
      <c r="Q36" s="535"/>
      <c r="R36" s="535"/>
      <c r="S36" s="535"/>
      <c r="T36" s="535"/>
      <c r="U36" s="535"/>
    </row>
    <row r="37" spans="1:21" ht="39.75" customHeight="1">
      <c r="A37" s="17">
        <f t="shared" si="5"/>
        <v>18</v>
      </c>
      <c r="B37" s="454" t="s">
        <v>254</v>
      </c>
      <c r="C37" s="455">
        <v>0</v>
      </c>
      <c r="D37" s="456">
        <v>0</v>
      </c>
      <c r="E37" s="456">
        <v>0</v>
      </c>
      <c r="F37" s="456">
        <v>0</v>
      </c>
      <c r="G37" s="456">
        <f>+C37</f>
        <v>0</v>
      </c>
      <c r="H37" s="457"/>
      <c r="I37" s="453" t="s">
        <v>255</v>
      </c>
      <c r="Q37" s="535"/>
      <c r="R37" s="535"/>
      <c r="S37" s="535"/>
      <c r="T37" s="535"/>
      <c r="U37" s="535"/>
    </row>
    <row r="38" spans="1:21" ht="39.75" customHeight="1">
      <c r="A38" s="17">
        <f t="shared" si="5"/>
        <v>19</v>
      </c>
      <c r="B38" s="454" t="s">
        <v>256</v>
      </c>
      <c r="C38" s="455">
        <v>0</v>
      </c>
      <c r="D38" s="456">
        <f>+C38</f>
        <v>0</v>
      </c>
      <c r="E38" s="456">
        <v>0</v>
      </c>
      <c r="F38" s="456">
        <v>0</v>
      </c>
      <c r="G38" s="456">
        <v>0</v>
      </c>
      <c r="H38" s="457"/>
      <c r="I38" s="453" t="s">
        <v>257</v>
      </c>
      <c r="Q38" s="535"/>
      <c r="R38" s="535"/>
      <c r="S38" s="535"/>
      <c r="T38" s="535"/>
      <c r="U38" s="535"/>
    </row>
    <row r="39" spans="1:21" ht="39.75" customHeight="1">
      <c r="A39" s="17">
        <f t="shared" si="5"/>
        <v>20</v>
      </c>
      <c r="B39" s="454" t="s">
        <v>258</v>
      </c>
      <c r="C39" s="455">
        <v>0</v>
      </c>
      <c r="D39" s="456">
        <v>0</v>
      </c>
      <c r="E39" s="456">
        <v>0</v>
      </c>
      <c r="F39" s="456">
        <f>+C39</f>
        <v>0</v>
      </c>
      <c r="G39" s="456">
        <v>0</v>
      </c>
      <c r="H39" s="457"/>
      <c r="I39" s="453" t="s">
        <v>939</v>
      </c>
      <c r="Q39" s="535"/>
      <c r="R39" s="535"/>
      <c r="S39" s="535"/>
      <c r="T39" s="535"/>
      <c r="U39" s="535"/>
    </row>
    <row r="40" spans="1:21" ht="39.75" customHeight="1">
      <c r="A40" s="17">
        <f t="shared" si="5"/>
        <v>21</v>
      </c>
      <c r="B40" s="454" t="s">
        <v>259</v>
      </c>
      <c r="C40" s="455">
        <v>0</v>
      </c>
      <c r="D40" s="456">
        <f>+C40</f>
        <v>0</v>
      </c>
      <c r="E40" s="456">
        <v>0</v>
      </c>
      <c r="F40" s="456">
        <v>0</v>
      </c>
      <c r="G40" s="456">
        <v>0</v>
      </c>
      <c r="H40" s="457"/>
      <c r="I40" s="453" t="s">
        <v>260</v>
      </c>
      <c r="Q40" s="535"/>
      <c r="R40" s="535"/>
      <c r="S40" s="535"/>
      <c r="T40" s="535"/>
      <c r="U40" s="535"/>
    </row>
    <row r="41" spans="1:21" ht="39.75" customHeight="1">
      <c r="A41" s="17">
        <f t="shared" si="5"/>
        <v>22</v>
      </c>
      <c r="B41" s="454" t="s">
        <v>261</v>
      </c>
      <c r="C41" s="455">
        <v>0</v>
      </c>
      <c r="D41" s="456">
        <f>+C41</f>
        <v>0</v>
      </c>
      <c r="E41" s="456">
        <v>0</v>
      </c>
      <c r="F41" s="456">
        <v>0</v>
      </c>
      <c r="G41" s="456">
        <v>0</v>
      </c>
      <c r="H41" s="457"/>
      <c r="I41" s="453" t="s">
        <v>1022</v>
      </c>
      <c r="Q41" s="535"/>
      <c r="R41" s="535"/>
      <c r="S41" s="535"/>
      <c r="T41" s="535"/>
      <c r="U41" s="535"/>
    </row>
    <row r="42" spans="1:21" ht="39.75" customHeight="1">
      <c r="A42" s="17">
        <f>+A41+1</f>
        <v>23</v>
      </c>
      <c r="B42" s="454" t="s">
        <v>262</v>
      </c>
      <c r="C42" s="536">
        <v>0</v>
      </c>
      <c r="D42" s="456">
        <f>+C42</f>
        <v>0</v>
      </c>
      <c r="E42" s="456">
        <v>0</v>
      </c>
      <c r="F42" s="456">
        <v>0</v>
      </c>
      <c r="G42" s="456">
        <v>0</v>
      </c>
      <c r="H42" s="457"/>
      <c r="I42" s="460" t="s">
        <v>263</v>
      </c>
      <c r="Q42" s="535"/>
      <c r="R42" s="535"/>
      <c r="S42" s="535"/>
      <c r="T42" s="535"/>
      <c r="U42" s="535"/>
    </row>
    <row r="43" spans="1:21" ht="25.15" customHeight="1">
      <c r="A43" s="17">
        <f t="shared" si="5"/>
        <v>24</v>
      </c>
      <c r="B43" s="461" t="s">
        <v>264</v>
      </c>
      <c r="C43" s="462">
        <f t="shared" ref="C43:G43" si="7">SUM(C31:C42)</f>
        <v>0</v>
      </c>
      <c r="D43" s="462">
        <f t="shared" si="7"/>
        <v>0</v>
      </c>
      <c r="E43" s="462">
        <f t="shared" si="7"/>
        <v>0</v>
      </c>
      <c r="F43" s="462">
        <f t="shared" si="7"/>
        <v>0</v>
      </c>
      <c r="G43" s="462">
        <f t="shared" si="7"/>
        <v>0</v>
      </c>
      <c r="H43" s="462"/>
      <c r="I43" s="463"/>
      <c r="Q43" s="535"/>
      <c r="R43" s="535"/>
      <c r="S43" s="535"/>
      <c r="T43" s="535"/>
      <c r="U43" s="535"/>
    </row>
    <row r="44" spans="1:21" ht="25.15" customHeight="1">
      <c r="A44" s="17">
        <f t="shared" si="5"/>
        <v>25</v>
      </c>
      <c r="B44" s="507" t="s">
        <v>265</v>
      </c>
      <c r="C44" s="465">
        <f>SUM(D44:G44)</f>
        <v>0</v>
      </c>
      <c r="D44" s="465">
        <f>D34</f>
        <v>0</v>
      </c>
      <c r="E44" s="466">
        <f>E34</f>
        <v>0</v>
      </c>
      <c r="F44" s="467">
        <f>F34</f>
        <v>0</v>
      </c>
      <c r="G44" s="467">
        <f>G34</f>
        <v>0</v>
      </c>
      <c r="H44" s="467"/>
      <c r="I44" s="468" t="s">
        <v>266</v>
      </c>
      <c r="Q44" s="535"/>
      <c r="R44" s="535"/>
      <c r="S44" s="535"/>
      <c r="T44" s="535"/>
      <c r="U44" s="535"/>
    </row>
    <row r="45" spans="1:21" ht="35.1" customHeight="1" thickBot="1">
      <c r="A45" s="17">
        <f>+A44+1</f>
        <v>26</v>
      </c>
      <c r="B45" s="469" t="s">
        <v>64</v>
      </c>
      <c r="C45" s="470">
        <f>+C43-C44</f>
        <v>0</v>
      </c>
      <c r="D45" s="470">
        <f t="shared" ref="D45:G45" si="8">+D43-D44</f>
        <v>0</v>
      </c>
      <c r="E45" s="470">
        <f t="shared" si="8"/>
        <v>0</v>
      </c>
      <c r="F45" s="470">
        <f t="shared" si="8"/>
        <v>0</v>
      </c>
      <c r="G45" s="470">
        <f t="shared" si="8"/>
        <v>0</v>
      </c>
      <c r="H45" s="470"/>
      <c r="I45" s="471"/>
      <c r="Q45" s="535"/>
      <c r="R45" s="535"/>
      <c r="S45" s="535"/>
      <c r="T45" s="535"/>
      <c r="U45" s="535"/>
    </row>
    <row r="46" spans="1:21" ht="35.1" customHeight="1">
      <c r="B46" s="6" t="s">
        <v>267</v>
      </c>
      <c r="D46" s="444"/>
      <c r="E46" s="474"/>
      <c r="F46" s="17"/>
      <c r="I46" s="475"/>
    </row>
    <row r="47" spans="1:21" ht="19.149999999999999" customHeight="1">
      <c r="B47" s="709" t="s">
        <v>268</v>
      </c>
      <c r="C47" s="709"/>
      <c r="D47" s="709"/>
      <c r="E47" s="709"/>
      <c r="F47" s="709"/>
      <c r="G47" s="709"/>
      <c r="H47" s="709"/>
      <c r="I47" s="709"/>
    </row>
    <row r="48" spans="1:21" ht="18.600000000000001" customHeight="1">
      <c r="B48" s="10" t="s">
        <v>269</v>
      </c>
      <c r="G48" s="17"/>
      <c r="H48" s="17"/>
      <c r="I48" s="17"/>
    </row>
    <row r="49" spans="1:21" ht="19.149999999999999" customHeight="1">
      <c r="B49" s="10" t="s">
        <v>270</v>
      </c>
      <c r="G49" s="17"/>
      <c r="H49" s="17"/>
      <c r="I49" s="17"/>
    </row>
    <row r="50" spans="1:21" ht="16.899999999999999" customHeight="1">
      <c r="B50" s="10" t="s">
        <v>271</v>
      </c>
      <c r="G50" s="17"/>
      <c r="H50" s="17"/>
      <c r="I50" s="17"/>
    </row>
    <row r="51" spans="1:21" ht="15" customHeight="1">
      <c r="B51" s="709" t="s">
        <v>272</v>
      </c>
      <c r="C51" s="709"/>
      <c r="D51" s="709"/>
      <c r="E51" s="709"/>
      <c r="F51" s="709"/>
      <c r="G51" s="709"/>
      <c r="H51" s="709"/>
      <c r="I51" s="709"/>
    </row>
    <row r="52" spans="1:21">
      <c r="B52" s="10" t="s">
        <v>273</v>
      </c>
      <c r="C52" s="17"/>
      <c r="D52" s="476"/>
      <c r="E52" s="17"/>
      <c r="F52" s="17"/>
      <c r="G52" s="17"/>
      <c r="H52" s="17"/>
      <c r="I52" s="61"/>
    </row>
    <row r="53" spans="1:21" ht="15">
      <c r="C53" s="11"/>
      <c r="D53" s="11"/>
      <c r="E53" s="11"/>
      <c r="F53" s="11"/>
      <c r="G53" s="11"/>
      <c r="H53" s="11"/>
      <c r="I53" s="61"/>
    </row>
    <row r="54" spans="1:21" ht="15">
      <c r="B54" s="708" t="str">
        <f>+B1</f>
        <v>Dayton Power and Light</v>
      </c>
      <c r="C54" s="710"/>
      <c r="D54" s="710"/>
      <c r="E54" s="710"/>
      <c r="F54" s="710"/>
      <c r="G54" s="710"/>
      <c r="H54" s="710"/>
      <c r="I54" s="710"/>
    </row>
    <row r="55" spans="1:21" ht="15">
      <c r="B55" s="708" t="str">
        <f>+B2</f>
        <v xml:space="preserve">ATTACHMENT H-15A </v>
      </c>
      <c r="C55" s="708"/>
      <c r="D55" s="708"/>
      <c r="E55" s="708"/>
      <c r="F55" s="708"/>
      <c r="G55" s="708"/>
      <c r="H55" s="708"/>
      <c r="I55" s="708"/>
    </row>
    <row r="56" spans="1:21" ht="15">
      <c r="B56" s="708" t="str">
        <f>+B3</f>
        <v>Attachment 1A - Accumulated Deferred Income Taxes (ADIT) Worksheet - Projected December 31, 2020</v>
      </c>
      <c r="C56" s="708"/>
      <c r="D56" s="708"/>
      <c r="E56" s="708"/>
      <c r="F56" s="708"/>
      <c r="G56" s="708"/>
      <c r="H56" s="708"/>
      <c r="I56" s="708"/>
    </row>
    <row r="57" spans="1:21">
      <c r="B57" s="441"/>
      <c r="I57" s="24"/>
    </row>
    <row r="58" spans="1:21" ht="15">
      <c r="B58" s="11" t="s">
        <v>194</v>
      </c>
      <c r="C58" s="11" t="s">
        <v>196</v>
      </c>
      <c r="D58" s="11" t="s">
        <v>197</v>
      </c>
      <c r="E58" s="11" t="s">
        <v>198</v>
      </c>
      <c r="F58" s="11" t="s">
        <v>200</v>
      </c>
      <c r="G58" s="11" t="s">
        <v>202</v>
      </c>
      <c r="H58" s="11"/>
      <c r="I58" s="442"/>
    </row>
    <row r="59" spans="1:21">
      <c r="B59" s="6"/>
      <c r="C59" s="441" t="s">
        <v>274</v>
      </c>
      <c r="D59" s="441"/>
      <c r="E59" s="441"/>
      <c r="F59" s="441"/>
      <c r="G59" s="441"/>
      <c r="H59" s="441"/>
      <c r="I59" s="442"/>
    </row>
    <row r="60" spans="1:21" ht="15">
      <c r="B60" s="446" t="s">
        <v>275</v>
      </c>
      <c r="C60" s="441"/>
      <c r="D60" s="441"/>
      <c r="E60" s="441" t="s">
        <v>224</v>
      </c>
      <c r="F60" s="441" t="s">
        <v>225</v>
      </c>
      <c r="G60" s="441" t="s">
        <v>226</v>
      </c>
      <c r="H60" s="441"/>
      <c r="I60" s="11" t="s">
        <v>204</v>
      </c>
    </row>
    <row r="61" spans="1:21" ht="15" thickBot="1">
      <c r="C61" s="441"/>
      <c r="D61" s="441" t="str">
        <f>+D30</f>
        <v>Excluded</v>
      </c>
      <c r="E61" s="441" t="s">
        <v>228</v>
      </c>
      <c r="F61" s="441" t="s">
        <v>228</v>
      </c>
      <c r="G61" s="441" t="s">
        <v>228</v>
      </c>
      <c r="H61" s="448"/>
      <c r="I61" s="441" t="s">
        <v>242</v>
      </c>
    </row>
    <row r="62" spans="1:21" ht="47.25" customHeight="1">
      <c r="A62" s="6">
        <f>+A45+1</f>
        <v>27</v>
      </c>
      <c r="B62" s="508" t="s">
        <v>276</v>
      </c>
      <c r="C62" s="477">
        <f>+E62+F62+G62</f>
        <v>0</v>
      </c>
      <c r="D62" s="537">
        <v>0</v>
      </c>
      <c r="E62" s="478">
        <v>0</v>
      </c>
      <c r="F62" s="478">
        <v>0</v>
      </c>
      <c r="G62" s="478">
        <v>0</v>
      </c>
      <c r="H62" s="479"/>
      <c r="I62" s="480" t="str">
        <f>+'1D - ADIT True-up'!I65</f>
        <v>Tax and book differences resulting from accelerated tax depreciation.  Included in prorated amount</v>
      </c>
      <c r="Q62" s="538"/>
      <c r="R62" s="538"/>
      <c r="S62" s="538"/>
      <c r="T62" s="538"/>
      <c r="U62" s="538"/>
    </row>
    <row r="63" spans="1:21" ht="46.5" customHeight="1">
      <c r="A63" s="6">
        <f>+A62+1</f>
        <v>28</v>
      </c>
      <c r="B63" s="454" t="s">
        <v>783</v>
      </c>
      <c r="C63" s="456">
        <v>0</v>
      </c>
      <c r="D63" s="481">
        <v>0</v>
      </c>
      <c r="E63" s="481">
        <v>0</v>
      </c>
      <c r="F63" s="481">
        <v>0</v>
      </c>
      <c r="G63" s="481">
        <v>0</v>
      </c>
      <c r="H63" s="457"/>
      <c r="I63" s="510" t="s">
        <v>277</v>
      </c>
      <c r="Q63" s="538"/>
      <c r="R63" s="538"/>
      <c r="S63" s="538"/>
      <c r="T63" s="538"/>
      <c r="U63" s="538"/>
    </row>
    <row r="64" spans="1:21" ht="35.1" customHeight="1" thickBot="1">
      <c r="A64" s="6">
        <f>+A63+1</f>
        <v>29</v>
      </c>
      <c r="B64" s="469" t="s">
        <v>64</v>
      </c>
      <c r="C64" s="470">
        <f>+SUM(C62:C63)</f>
        <v>0</v>
      </c>
      <c r="D64" s="470">
        <f t="shared" ref="D64:G64" si="9">+SUM(D62:D63)</f>
        <v>0</v>
      </c>
      <c r="E64" s="470">
        <f t="shared" si="9"/>
        <v>0</v>
      </c>
      <c r="F64" s="470">
        <f t="shared" si="9"/>
        <v>0</v>
      </c>
      <c r="G64" s="470">
        <f t="shared" si="9"/>
        <v>0</v>
      </c>
      <c r="H64" s="470"/>
      <c r="I64" s="471"/>
      <c r="Q64" s="538"/>
      <c r="R64" s="538"/>
      <c r="S64" s="538"/>
      <c r="T64" s="538"/>
      <c r="U64" s="538"/>
    </row>
    <row r="65" spans="2:9" ht="25.15" customHeight="1">
      <c r="B65" s="6" t="s">
        <v>278</v>
      </c>
      <c r="E65" s="17"/>
      <c r="F65" s="474"/>
      <c r="I65" s="61"/>
    </row>
    <row r="66" spans="2:9" ht="21" customHeight="1">
      <c r="B66" s="10" t="s">
        <v>279</v>
      </c>
      <c r="G66" s="17"/>
      <c r="H66" s="17"/>
      <c r="I66" s="17"/>
    </row>
    <row r="67" spans="2:9" ht="15" customHeight="1">
      <c r="B67" s="10" t="s">
        <v>269</v>
      </c>
      <c r="G67" s="17"/>
      <c r="H67" s="17"/>
      <c r="I67" s="17"/>
    </row>
    <row r="68" spans="2:9" ht="19.149999999999999" customHeight="1">
      <c r="B68" s="10" t="s">
        <v>280</v>
      </c>
      <c r="G68" s="17"/>
      <c r="H68" s="17"/>
      <c r="I68" s="17"/>
    </row>
    <row r="69" spans="2:9" ht="18.600000000000001" customHeight="1">
      <c r="B69" s="10" t="s">
        <v>281</v>
      </c>
      <c r="G69" s="17"/>
      <c r="H69" s="17"/>
      <c r="I69" s="17"/>
    </row>
    <row r="70" spans="2:9" ht="18.600000000000001" customHeight="1">
      <c r="B70" s="709" t="s">
        <v>272</v>
      </c>
      <c r="C70" s="709"/>
      <c r="D70" s="709"/>
      <c r="E70" s="709"/>
      <c r="F70" s="709"/>
      <c r="G70" s="709"/>
      <c r="H70" s="709"/>
      <c r="I70" s="709"/>
    </row>
    <row r="71" spans="2:9">
      <c r="B71" s="10" t="s">
        <v>273</v>
      </c>
      <c r="C71" s="17"/>
      <c r="D71" s="476"/>
      <c r="E71" s="17"/>
      <c r="F71" s="17"/>
      <c r="G71" s="17"/>
      <c r="H71" s="17"/>
      <c r="I71" s="61"/>
    </row>
    <row r="72" spans="2:9">
      <c r="F72" s="17"/>
      <c r="G72" s="17"/>
      <c r="H72" s="17"/>
      <c r="I72" s="61"/>
    </row>
    <row r="73" spans="2:9">
      <c r="F73" s="17"/>
      <c r="G73" s="17"/>
      <c r="H73" s="17"/>
      <c r="I73" s="61"/>
    </row>
    <row r="74" spans="2:9" ht="15">
      <c r="B74" s="11"/>
    </row>
    <row r="75" spans="2:9" ht="15">
      <c r="B75" s="484" t="str">
        <f>B1</f>
        <v>Dayton Power and Light</v>
      </c>
      <c r="C75" s="26"/>
      <c r="D75" s="26"/>
      <c r="E75" s="26"/>
      <c r="F75" s="26"/>
      <c r="G75" s="26"/>
      <c r="H75" s="26"/>
      <c r="I75" s="26"/>
    </row>
    <row r="76" spans="2:9" ht="15">
      <c r="B76" s="708" t="str">
        <f>+B55</f>
        <v xml:space="preserve">ATTACHMENT H-15A </v>
      </c>
      <c r="C76" s="708"/>
      <c r="D76" s="708"/>
      <c r="E76" s="708"/>
      <c r="F76" s="708"/>
      <c r="G76" s="708"/>
      <c r="H76" s="708"/>
      <c r="I76" s="708"/>
    </row>
    <row r="77" spans="2:9" ht="15">
      <c r="B77" s="708" t="str">
        <f>+B3</f>
        <v>Attachment 1A - Accumulated Deferred Income Taxes (ADIT) Worksheet - Projected December 31, 2020</v>
      </c>
      <c r="C77" s="708"/>
      <c r="D77" s="708"/>
      <c r="E77" s="708"/>
      <c r="F77" s="708"/>
      <c r="G77" s="708"/>
      <c r="H77" s="708"/>
      <c r="I77" s="708"/>
    </row>
    <row r="78" spans="2:9">
      <c r="G78" s="446"/>
      <c r="H78" s="446"/>
      <c r="I78" s="61"/>
    </row>
    <row r="79" spans="2:9" ht="15">
      <c r="B79" s="11" t="s">
        <v>194</v>
      </c>
      <c r="C79" s="11" t="s">
        <v>196</v>
      </c>
      <c r="D79" s="11" t="s">
        <v>197</v>
      </c>
      <c r="E79" s="11" t="s">
        <v>198</v>
      </c>
      <c r="F79" s="11" t="s">
        <v>200</v>
      </c>
      <c r="G79" s="11" t="s">
        <v>202</v>
      </c>
      <c r="H79" s="11"/>
      <c r="I79" s="11" t="s">
        <v>204</v>
      </c>
    </row>
    <row r="80" spans="2:9" ht="15">
      <c r="B80" s="446" t="s">
        <v>282</v>
      </c>
      <c r="C80" s="11" t="s">
        <v>64</v>
      </c>
      <c r="D80" s="486"/>
      <c r="E80" s="11" t="s">
        <v>224</v>
      </c>
      <c r="F80" s="486" t="s">
        <v>225</v>
      </c>
      <c r="G80" s="486" t="s">
        <v>226</v>
      </c>
      <c r="H80" s="11"/>
    </row>
    <row r="81" spans="1:21" ht="16.149999999999999" customHeight="1" thickBot="1">
      <c r="C81" s="11"/>
      <c r="D81" s="11" t="str">
        <f>+D61</f>
        <v>Excluded</v>
      </c>
      <c r="E81" s="11" t="s">
        <v>228</v>
      </c>
      <c r="F81" s="11"/>
      <c r="G81" s="11"/>
      <c r="H81" s="539"/>
      <c r="I81" s="441" t="s">
        <v>242</v>
      </c>
    </row>
    <row r="82" spans="1:21" ht="25.15" customHeight="1">
      <c r="A82" s="17">
        <f>+A62+1</f>
        <v>28</v>
      </c>
      <c r="B82" s="449" t="s">
        <v>283</v>
      </c>
      <c r="C82" s="451">
        <v>0</v>
      </c>
      <c r="D82" s="451">
        <v>0</v>
      </c>
      <c r="E82" s="451">
        <v>0</v>
      </c>
      <c r="F82" s="451">
        <v>0</v>
      </c>
      <c r="G82" s="451">
        <f>+C82</f>
        <v>0</v>
      </c>
      <c r="H82" s="540"/>
      <c r="I82" s="487" t="s">
        <v>284</v>
      </c>
      <c r="Q82" s="538"/>
      <c r="R82" s="538"/>
      <c r="S82" s="538"/>
      <c r="T82" s="538"/>
      <c r="U82" s="538"/>
    </row>
    <row r="83" spans="1:21" ht="33.6" customHeight="1">
      <c r="A83" s="17">
        <f>+A82+1</f>
        <v>29</v>
      </c>
      <c r="B83" s="454" t="s">
        <v>285</v>
      </c>
      <c r="C83" s="456">
        <v>0</v>
      </c>
      <c r="D83" s="456">
        <v>0</v>
      </c>
      <c r="E83" s="456">
        <v>0</v>
      </c>
      <c r="F83" s="456">
        <f>+C83</f>
        <v>0</v>
      </c>
      <c r="G83" s="456">
        <v>0</v>
      </c>
      <c r="H83" s="541"/>
      <c r="I83" s="488" t="s">
        <v>286</v>
      </c>
      <c r="Q83" s="538"/>
      <c r="R83" s="538"/>
      <c r="S83" s="538"/>
      <c r="T83" s="538"/>
      <c r="U83" s="538"/>
    </row>
    <row r="84" spans="1:21" ht="36.75" customHeight="1">
      <c r="A84" s="17">
        <f t="shared" ref="A84:A92" si="10">+A83+1</f>
        <v>30</v>
      </c>
      <c r="B84" s="454" t="s">
        <v>287</v>
      </c>
      <c r="C84" s="456">
        <v>0</v>
      </c>
      <c r="D84" s="456">
        <f>+C84</f>
        <v>0</v>
      </c>
      <c r="E84" s="456">
        <f>+C84-D84</f>
        <v>0</v>
      </c>
      <c r="F84" s="456">
        <v>0</v>
      </c>
      <c r="G84" s="456">
        <v>0</v>
      </c>
      <c r="H84" s="541"/>
      <c r="I84" s="488" t="s">
        <v>943</v>
      </c>
      <c r="Q84" s="538"/>
      <c r="R84" s="538"/>
      <c r="S84" s="538"/>
      <c r="T84" s="538"/>
      <c r="U84" s="538"/>
    </row>
    <row r="85" spans="1:21" ht="31.5" customHeight="1">
      <c r="A85" s="17">
        <f t="shared" si="10"/>
        <v>31</v>
      </c>
      <c r="B85" s="454" t="s">
        <v>288</v>
      </c>
      <c r="C85" s="456">
        <v>0</v>
      </c>
      <c r="D85" s="456">
        <f>+C85</f>
        <v>0</v>
      </c>
      <c r="E85" s="456">
        <v>0</v>
      </c>
      <c r="F85" s="456">
        <v>0</v>
      </c>
      <c r="G85" s="456">
        <v>0</v>
      </c>
      <c r="H85" s="541"/>
      <c r="I85" s="488" t="s">
        <v>940</v>
      </c>
      <c r="Q85" s="538"/>
      <c r="R85" s="538"/>
      <c r="S85" s="538"/>
      <c r="T85" s="538"/>
      <c r="U85" s="538"/>
    </row>
    <row r="86" spans="1:21" ht="25.15" customHeight="1">
      <c r="A86" s="17">
        <f t="shared" si="10"/>
        <v>32</v>
      </c>
      <c r="B86" s="458" t="s">
        <v>289</v>
      </c>
      <c r="C86" s="456">
        <v>0</v>
      </c>
      <c r="D86" s="456">
        <f>+C86</f>
        <v>0</v>
      </c>
      <c r="E86" s="456">
        <v>0</v>
      </c>
      <c r="F86" s="456">
        <v>0</v>
      </c>
      <c r="G86" s="456">
        <v>0</v>
      </c>
      <c r="H86" s="541"/>
      <c r="I86" s="489" t="s">
        <v>249</v>
      </c>
      <c r="Q86" s="538"/>
      <c r="R86" s="538"/>
      <c r="S86" s="538"/>
      <c r="T86" s="538"/>
      <c r="U86" s="538"/>
    </row>
    <row r="87" spans="1:21" ht="25.15" customHeight="1">
      <c r="A87" s="17">
        <f t="shared" si="10"/>
        <v>33</v>
      </c>
      <c r="B87" s="454" t="s">
        <v>290</v>
      </c>
      <c r="C87" s="456">
        <v>0</v>
      </c>
      <c r="D87" s="456">
        <v>0</v>
      </c>
      <c r="E87" s="456">
        <v>0</v>
      </c>
      <c r="F87" s="456">
        <v>0</v>
      </c>
      <c r="G87" s="456">
        <f>+C87</f>
        <v>0</v>
      </c>
      <c r="H87" s="541"/>
      <c r="I87" s="488" t="s">
        <v>291</v>
      </c>
      <c r="Q87" s="538"/>
      <c r="R87" s="538"/>
      <c r="S87" s="538"/>
      <c r="T87" s="538"/>
      <c r="U87" s="538"/>
    </row>
    <row r="88" spans="1:21" ht="35.25" customHeight="1">
      <c r="A88" s="17">
        <f>+A87+1</f>
        <v>34</v>
      </c>
      <c r="B88" s="454" t="s">
        <v>262</v>
      </c>
      <c r="C88" s="456">
        <v>0</v>
      </c>
      <c r="D88" s="456">
        <f>+C88</f>
        <v>0</v>
      </c>
      <c r="E88" s="456">
        <v>0</v>
      </c>
      <c r="F88" s="456">
        <f>+C88-D88</f>
        <v>0</v>
      </c>
      <c r="G88" s="456">
        <v>0</v>
      </c>
      <c r="H88" s="541"/>
      <c r="I88" s="488" t="s">
        <v>292</v>
      </c>
      <c r="Q88" s="538"/>
      <c r="R88" s="538"/>
      <c r="S88" s="538"/>
      <c r="T88" s="538"/>
      <c r="U88" s="538"/>
    </row>
    <row r="89" spans="1:21" ht="25.15" customHeight="1">
      <c r="A89" s="17">
        <f t="shared" si="10"/>
        <v>35</v>
      </c>
      <c r="B89" s="490" t="s">
        <v>293</v>
      </c>
      <c r="C89" s="491">
        <f>SUM(C80:C88)</f>
        <v>0</v>
      </c>
      <c r="D89" s="491">
        <f>SUM(D80:D88)</f>
        <v>0</v>
      </c>
      <c r="E89" s="491">
        <f>SUM(E80:E88)</f>
        <v>0</v>
      </c>
      <c r="F89" s="491">
        <f>SUM(F80:F88)</f>
        <v>0</v>
      </c>
      <c r="G89" s="491">
        <f t="shared" ref="G89" si="11">SUM(G80:G88)</f>
        <v>0</v>
      </c>
      <c r="H89" s="491"/>
      <c r="I89" s="492"/>
      <c r="Q89" s="538"/>
      <c r="R89" s="538"/>
      <c r="S89" s="538"/>
      <c r="T89" s="538"/>
      <c r="U89" s="538"/>
    </row>
    <row r="90" spans="1:21" ht="25.15" customHeight="1">
      <c r="A90" s="17">
        <f t="shared" si="10"/>
        <v>36</v>
      </c>
      <c r="B90" s="513" t="s">
        <v>294</v>
      </c>
      <c r="C90" s="465">
        <f t="shared" ref="C90:G90" si="12">+C86</f>
        <v>0</v>
      </c>
      <c r="D90" s="465">
        <f t="shared" si="12"/>
        <v>0</v>
      </c>
      <c r="E90" s="465">
        <f t="shared" si="12"/>
        <v>0</v>
      </c>
      <c r="F90" s="465">
        <f t="shared" si="12"/>
        <v>0</v>
      </c>
      <c r="G90" s="465">
        <f t="shared" si="12"/>
        <v>0</v>
      </c>
      <c r="H90" s="465"/>
      <c r="I90" s="468"/>
      <c r="Q90" s="538"/>
      <c r="R90" s="538"/>
      <c r="S90" s="538"/>
      <c r="T90" s="538"/>
      <c r="U90" s="538"/>
    </row>
    <row r="91" spans="1:21" ht="25.15" customHeight="1">
      <c r="A91" s="17">
        <f t="shared" si="10"/>
        <v>37</v>
      </c>
      <c r="B91" s="514" t="s">
        <v>295</v>
      </c>
      <c r="C91" s="496">
        <f t="shared" ref="C91:G91" si="13">+C83</f>
        <v>0</v>
      </c>
      <c r="D91" s="496">
        <f t="shared" si="13"/>
        <v>0</v>
      </c>
      <c r="E91" s="496">
        <f t="shared" si="13"/>
        <v>0</v>
      </c>
      <c r="F91" s="496">
        <f t="shared" si="13"/>
        <v>0</v>
      </c>
      <c r="G91" s="496">
        <f t="shared" si="13"/>
        <v>0</v>
      </c>
      <c r="H91" s="496"/>
      <c r="I91" s="498" t="s">
        <v>296</v>
      </c>
      <c r="Q91" s="538"/>
      <c r="R91" s="538"/>
      <c r="S91" s="538"/>
      <c r="T91" s="538"/>
      <c r="U91" s="538"/>
    </row>
    <row r="92" spans="1:21" ht="35.1" customHeight="1" thickBot="1">
      <c r="A92" s="17">
        <f t="shared" si="10"/>
        <v>38</v>
      </c>
      <c r="B92" s="469" t="s">
        <v>64</v>
      </c>
      <c r="C92" s="470">
        <f>+C89-C90-C91</f>
        <v>0</v>
      </c>
      <c r="D92" s="470">
        <f t="shared" ref="D92:G92" si="14">+D89-D90-D91</f>
        <v>0</v>
      </c>
      <c r="E92" s="470">
        <f t="shared" si="14"/>
        <v>0</v>
      </c>
      <c r="F92" s="470">
        <f t="shared" si="14"/>
        <v>0</v>
      </c>
      <c r="G92" s="470">
        <f t="shared" si="14"/>
        <v>0</v>
      </c>
      <c r="H92" s="470"/>
      <c r="I92" s="471"/>
      <c r="Q92" s="538"/>
      <c r="R92" s="538"/>
      <c r="S92" s="538"/>
      <c r="T92" s="538"/>
      <c r="U92" s="538"/>
    </row>
    <row r="93" spans="1:21">
      <c r="C93" s="444"/>
      <c r="D93" s="444"/>
      <c r="E93" s="444"/>
      <c r="F93" s="444"/>
      <c r="G93" s="444"/>
      <c r="H93" s="444"/>
      <c r="I93" s="61"/>
      <c r="Q93" s="538"/>
      <c r="R93" s="538"/>
      <c r="S93" s="538"/>
      <c r="T93" s="538"/>
      <c r="U93" s="538"/>
    </row>
    <row r="94" spans="1:21" ht="20.45" customHeight="1">
      <c r="B94" s="6" t="s">
        <v>297</v>
      </c>
      <c r="E94" s="17"/>
      <c r="F94" s="17"/>
      <c r="I94" s="499"/>
    </row>
    <row r="95" spans="1:21" ht="21" customHeight="1">
      <c r="B95" s="10" t="str">
        <f>+B66</f>
        <v>1.  ADIT items related only to Non-Electric Operations or Production are directly assigned to Column C</v>
      </c>
      <c r="G95" s="17"/>
      <c r="H95" s="17"/>
      <c r="I95" s="17"/>
    </row>
    <row r="96" spans="1:21" ht="19.149999999999999" customHeight="1">
      <c r="B96" s="10" t="s">
        <v>269</v>
      </c>
      <c r="G96" s="17"/>
      <c r="H96" s="17"/>
      <c r="I96" s="17"/>
    </row>
    <row r="97" spans="2:9" ht="17.45" customHeight="1">
      <c r="B97" s="10" t="s">
        <v>280</v>
      </c>
      <c r="G97" s="17"/>
      <c r="H97" s="17"/>
      <c r="I97" s="17"/>
    </row>
    <row r="98" spans="2:9" ht="19.149999999999999" customHeight="1">
      <c r="B98" s="10" t="s">
        <v>281</v>
      </c>
      <c r="G98" s="17"/>
      <c r="H98" s="17"/>
      <c r="I98" s="17"/>
    </row>
    <row r="99" spans="2:9" ht="19.149999999999999" customHeight="1">
      <c r="B99" s="709" t="s">
        <v>272</v>
      </c>
      <c r="C99" s="709"/>
      <c r="D99" s="709"/>
      <c r="E99" s="709"/>
      <c r="F99" s="709"/>
      <c r="G99" s="709"/>
      <c r="H99" s="709"/>
      <c r="I99" s="709"/>
    </row>
    <row r="100" spans="2:9">
      <c r="B100" s="10" t="s">
        <v>273</v>
      </c>
      <c r="C100" s="17"/>
      <c r="D100" s="476"/>
      <c r="E100" s="17"/>
      <c r="F100" s="17"/>
      <c r="G100" s="17"/>
      <c r="H100" s="17"/>
      <c r="I100" s="61"/>
    </row>
    <row r="101" spans="2:9" ht="15">
      <c r="B101" s="484"/>
      <c r="C101" s="26"/>
      <c r="D101" s="26"/>
      <c r="E101" s="26"/>
      <c r="F101" s="26"/>
      <c r="G101" s="26"/>
      <c r="H101" s="26"/>
      <c r="I101" s="26"/>
    </row>
    <row r="102" spans="2:9" ht="15">
      <c r="B102" s="708"/>
      <c r="C102" s="708"/>
      <c r="D102" s="708"/>
      <c r="E102" s="708"/>
      <c r="F102" s="708"/>
      <c r="G102" s="708"/>
      <c r="H102" s="708"/>
      <c r="I102" s="708"/>
    </row>
    <row r="103" spans="2:9">
      <c r="B103" s="6"/>
    </row>
    <row r="104" spans="2:9">
      <c r="B104" s="6"/>
    </row>
    <row r="105" spans="2:9">
      <c r="B105" s="6"/>
    </row>
    <row r="106" spans="2:9" ht="15">
      <c r="B106" s="45"/>
      <c r="D106" s="500"/>
      <c r="E106" s="500"/>
      <c r="F106" s="500"/>
      <c r="G106" s="500"/>
      <c r="H106" s="500"/>
      <c r="I106" s="500"/>
    </row>
    <row r="107" spans="2:9" ht="15">
      <c r="B107" s="45"/>
      <c r="D107" s="500"/>
      <c r="E107" s="500"/>
      <c r="F107" s="500"/>
      <c r="G107" s="500"/>
      <c r="H107" s="500"/>
      <c r="I107" s="500"/>
    </row>
    <row r="108" spans="2:9">
      <c r="D108" s="17"/>
      <c r="E108" s="17"/>
    </row>
    <row r="109" spans="2:9">
      <c r="D109" s="117"/>
      <c r="E109" s="117"/>
    </row>
    <row r="110" spans="2:9">
      <c r="D110" s="117"/>
      <c r="E110" s="117"/>
    </row>
    <row r="111" spans="2:9">
      <c r="D111" s="117"/>
      <c r="E111" s="117"/>
    </row>
    <row r="112" spans="2:9">
      <c r="D112" s="117"/>
      <c r="E112" s="117"/>
    </row>
    <row r="113" spans="2:5">
      <c r="D113" s="117"/>
      <c r="E113" s="117"/>
    </row>
    <row r="114" spans="2:5">
      <c r="D114" s="117"/>
      <c r="E114" s="117"/>
    </row>
    <row r="115" spans="2:5">
      <c r="D115" s="117"/>
      <c r="E115" s="117"/>
    </row>
    <row r="116" spans="2:5">
      <c r="D116" s="117"/>
      <c r="E116" s="117"/>
    </row>
    <row r="117" spans="2:5">
      <c r="D117" s="117"/>
      <c r="E117" s="117"/>
    </row>
    <row r="118" spans="2:5">
      <c r="D118" s="117"/>
      <c r="E118" s="117"/>
    </row>
    <row r="119" spans="2:5">
      <c r="B119" s="6"/>
      <c r="D119" s="117"/>
      <c r="E119" s="117"/>
    </row>
    <row r="120" spans="2:5">
      <c r="D120" s="117"/>
      <c r="E120" s="117"/>
    </row>
    <row r="121" spans="2:5">
      <c r="B121" s="6"/>
      <c r="D121" s="117"/>
      <c r="E121" s="117"/>
    </row>
  </sheetData>
  <customSheetViews>
    <customSheetView guid="{416404B7-8533-4A12-ABD0-58CFDEB49D80}" scale="50" showPageBreaks="1" printArea="1">
      <selection sqref="A1:XFD1048576"/>
      <rowBreaks count="2" manualBreakCount="2">
        <brk id="73" max="16383" man="1"/>
        <brk id="132" max="16383" man="1"/>
      </rowBreaks>
      <pageMargins left="0" right="0" top="0" bottom="0" header="0" footer="0"/>
      <printOptions horizontalCentered="1"/>
      <pageSetup scale="30" orientation="landscape" r:id="rId1"/>
      <headerFooter alignWithMargins="0"/>
    </customSheetView>
  </customSheetViews>
  <mergeCells count="13">
    <mergeCell ref="B1:I1"/>
    <mergeCell ref="B3:I3"/>
    <mergeCell ref="B2:I2"/>
    <mergeCell ref="B56:I56"/>
    <mergeCell ref="B76:I76"/>
    <mergeCell ref="B102:I102"/>
    <mergeCell ref="B47:I47"/>
    <mergeCell ref="B51:I51"/>
    <mergeCell ref="B77:I77"/>
    <mergeCell ref="B54:I54"/>
    <mergeCell ref="B55:I55"/>
    <mergeCell ref="B70:I70"/>
    <mergeCell ref="B99:I99"/>
  </mergeCells>
  <phoneticPr fontId="0" type="noConversion"/>
  <printOptions horizontalCentered="1"/>
  <pageMargins left="0.75" right="0.75" top="1" bottom="1" header="0.5" footer="0.5"/>
  <pageSetup scale="32" fitToHeight="2" orientation="landscape" r:id="rId2"/>
  <headerFooter alignWithMargins="0"/>
  <rowBreaks count="1" manualBreakCount="1">
    <brk id="53" max="8" man="1"/>
  </rowBreaks>
  <customProperties>
    <customPr name="_pios_id" r:id="rId3"/>
    <customPr name="EpmWorksheetKeyString_GUID" r:id="rId4"/>
  </customProperties>
  <ignoredErrors>
    <ignoredError sqref="C89"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37"/>
  <sheetViews>
    <sheetView zoomScaleNormal="100" workbookViewId="0">
      <selection activeCell="F8" sqref="F8"/>
    </sheetView>
  </sheetViews>
  <sheetFormatPr defaultColWidth="8.7109375" defaultRowHeight="14.25"/>
  <cols>
    <col min="1" max="1" width="3.85546875" style="6" customWidth="1"/>
    <col min="2" max="2" width="31" style="6" customWidth="1"/>
    <col min="3" max="3" width="8.7109375" style="6"/>
    <col min="4" max="4" width="8.85546875" style="6" bestFit="1" customWidth="1"/>
    <col min="5" max="5" width="8.7109375" style="6"/>
    <col min="6" max="6" width="14.85546875" style="6" bestFit="1" customWidth="1"/>
    <col min="7" max="7" width="8.7109375" style="6"/>
    <col min="8" max="8" width="13.7109375" style="6" bestFit="1" customWidth="1"/>
    <col min="9" max="9" width="8.7109375" style="6"/>
    <col min="10" max="10" width="14.85546875" style="6" bestFit="1" customWidth="1"/>
    <col min="11" max="11" width="8.7109375" style="6"/>
    <col min="12" max="12" width="11.140625" style="6" bestFit="1" customWidth="1"/>
    <col min="13" max="13" width="8.7109375" style="6"/>
    <col min="14" max="14" width="15.140625" style="6" bestFit="1" customWidth="1"/>
    <col min="15" max="16384" width="8.7109375" style="6"/>
  </cols>
  <sheetData>
    <row r="1" spans="1:14" ht="15">
      <c r="B1" s="708" t="str">
        <f>+'9 - Excess ADIT'!I2</f>
        <v>Dayton Power and Light</v>
      </c>
      <c r="C1" s="708"/>
      <c r="D1" s="708"/>
      <c r="E1" s="708"/>
      <c r="F1" s="708"/>
      <c r="G1" s="708"/>
      <c r="H1" s="708"/>
      <c r="I1" s="708"/>
      <c r="J1" s="708"/>
      <c r="K1" s="708"/>
      <c r="L1" s="708"/>
      <c r="M1" s="708"/>
    </row>
    <row r="2" spans="1:14" ht="15">
      <c r="B2" s="708" t="str">
        <f>+'9 - Excess ADIT'!I3</f>
        <v xml:space="preserve">ATTACHMENT H-15A </v>
      </c>
      <c r="C2" s="708"/>
      <c r="D2" s="708"/>
      <c r="E2" s="708"/>
      <c r="F2" s="708"/>
      <c r="G2" s="708"/>
      <c r="H2" s="708"/>
      <c r="I2" s="708"/>
      <c r="J2" s="708"/>
      <c r="K2" s="708"/>
      <c r="L2" s="708"/>
      <c r="M2" s="708"/>
    </row>
    <row r="3" spans="1:14" ht="15">
      <c r="B3" s="708" t="s">
        <v>831</v>
      </c>
      <c r="C3" s="708"/>
      <c r="D3" s="708"/>
      <c r="E3" s="708"/>
      <c r="F3" s="708"/>
      <c r="G3" s="708"/>
      <c r="H3" s="708"/>
      <c r="I3" s="708"/>
      <c r="J3" s="708"/>
      <c r="K3" s="708"/>
      <c r="L3" s="708"/>
      <c r="M3" s="708"/>
    </row>
    <row r="4" spans="1:14" ht="15">
      <c r="B4" s="747">
        <v>44196</v>
      </c>
      <c r="C4" s="747"/>
      <c r="D4" s="747"/>
      <c r="E4" s="747"/>
      <c r="F4" s="747"/>
      <c r="G4" s="747"/>
      <c r="H4" s="747"/>
      <c r="I4" s="747"/>
      <c r="J4" s="747"/>
      <c r="K4" s="747"/>
      <c r="L4" s="747"/>
      <c r="M4" s="747"/>
    </row>
    <row r="5" spans="1:14" ht="15">
      <c r="B5" s="11"/>
      <c r="C5" s="11"/>
      <c r="D5" s="11"/>
      <c r="E5" s="11"/>
      <c r="F5" s="11"/>
      <c r="G5" s="11"/>
      <c r="H5" s="11"/>
      <c r="I5" s="11"/>
      <c r="J5" s="11"/>
      <c r="K5" s="11"/>
      <c r="L5" s="11"/>
      <c r="M5" s="11"/>
    </row>
    <row r="6" spans="1:14">
      <c r="H6" s="742" t="s">
        <v>859</v>
      </c>
      <c r="I6" s="742"/>
      <c r="J6" s="742"/>
      <c r="K6" s="742"/>
      <c r="L6" s="742"/>
    </row>
    <row r="7" spans="1:14" ht="57.75" customHeight="1">
      <c r="A7" s="6" t="s">
        <v>741</v>
      </c>
      <c r="B7" s="12" t="s">
        <v>690</v>
      </c>
      <c r="C7" s="12"/>
      <c r="D7" s="13" t="s">
        <v>447</v>
      </c>
      <c r="E7" s="12"/>
      <c r="F7" s="12" t="s">
        <v>394</v>
      </c>
      <c r="G7" s="12"/>
      <c r="H7" s="12" t="s">
        <v>224</v>
      </c>
      <c r="I7" s="12"/>
      <c r="J7" s="12" t="s">
        <v>832</v>
      </c>
      <c r="K7" s="12"/>
      <c r="L7" s="12" t="s">
        <v>262</v>
      </c>
      <c r="N7" s="13" t="s">
        <v>858</v>
      </c>
    </row>
    <row r="9" spans="1:14">
      <c r="A9" s="6">
        <v>1</v>
      </c>
      <c r="B9" s="6" t="s">
        <v>833</v>
      </c>
      <c r="D9" s="6">
        <v>920</v>
      </c>
      <c r="F9" s="14">
        <v>3329762</v>
      </c>
      <c r="G9" s="15"/>
      <c r="H9" s="14">
        <v>1230112</v>
      </c>
      <c r="I9" s="15"/>
      <c r="J9" s="14">
        <v>2118034</v>
      </c>
      <c r="K9" s="15"/>
      <c r="L9" s="14">
        <v>-18384</v>
      </c>
      <c r="M9" s="15"/>
      <c r="N9" s="16">
        <f>+F9-H9-J9-L9</f>
        <v>0</v>
      </c>
    </row>
    <row r="10" spans="1:14">
      <c r="F10" s="15"/>
      <c r="G10" s="15"/>
      <c r="H10" s="15"/>
      <c r="I10" s="15"/>
      <c r="J10" s="15"/>
      <c r="K10" s="15"/>
      <c r="L10" s="15"/>
      <c r="M10" s="15"/>
      <c r="N10" s="15"/>
    </row>
    <row r="11" spans="1:14">
      <c r="A11" s="6">
        <f>+A9+1</f>
        <v>2</v>
      </c>
      <c r="B11" s="6" t="s">
        <v>834</v>
      </c>
      <c r="D11" s="6">
        <v>921</v>
      </c>
      <c r="F11" s="14">
        <v>30316663</v>
      </c>
      <c r="G11" s="15"/>
      <c r="H11" s="14">
        <v>3734358</v>
      </c>
      <c r="I11" s="15"/>
      <c r="J11" s="14">
        <v>26506092</v>
      </c>
      <c r="K11" s="15"/>
      <c r="L11" s="14">
        <v>76213</v>
      </c>
      <c r="M11" s="15"/>
      <c r="N11" s="16">
        <f>+F11-H11-J11-L11</f>
        <v>0</v>
      </c>
    </row>
    <row r="12" spans="1:14">
      <c r="F12" s="15"/>
      <c r="G12" s="15"/>
      <c r="H12" s="15"/>
      <c r="I12" s="15"/>
      <c r="J12" s="15"/>
      <c r="K12" s="15"/>
      <c r="L12" s="15"/>
      <c r="M12" s="15"/>
      <c r="N12" s="15"/>
    </row>
    <row r="13" spans="1:14">
      <c r="A13" s="6">
        <f>+A11+1</f>
        <v>3</v>
      </c>
      <c r="B13" s="6" t="s">
        <v>835</v>
      </c>
      <c r="D13" s="6">
        <v>922</v>
      </c>
      <c r="F13" s="14">
        <v>-1748188</v>
      </c>
      <c r="G13" s="15"/>
      <c r="H13" s="14">
        <v>-249332</v>
      </c>
      <c r="I13" s="15"/>
      <c r="J13" s="14">
        <v>-1498856</v>
      </c>
      <c r="K13" s="15"/>
      <c r="L13" s="14">
        <v>0</v>
      </c>
      <c r="M13" s="15"/>
      <c r="N13" s="16">
        <f>+F13-H13-J13-L13</f>
        <v>0</v>
      </c>
    </row>
    <row r="14" spans="1:14">
      <c r="F14" s="15"/>
      <c r="G14" s="15"/>
      <c r="H14" s="15"/>
      <c r="I14" s="15"/>
      <c r="J14" s="15"/>
      <c r="K14" s="15"/>
      <c r="L14" s="15"/>
      <c r="M14" s="15"/>
      <c r="N14" s="15"/>
    </row>
    <row r="15" spans="1:14">
      <c r="A15" s="6">
        <f>+A13+1</f>
        <v>4</v>
      </c>
      <c r="B15" s="6" t="s">
        <v>836</v>
      </c>
      <c r="D15" s="6">
        <v>923</v>
      </c>
      <c r="F15" s="14">
        <v>13867460</v>
      </c>
      <c r="G15" s="15"/>
      <c r="H15" s="14">
        <v>1846758</v>
      </c>
      <c r="I15" s="15"/>
      <c r="J15" s="14">
        <v>12015996</v>
      </c>
      <c r="K15" s="15"/>
      <c r="L15" s="14">
        <v>4707</v>
      </c>
      <c r="M15" s="15"/>
      <c r="N15" s="16">
        <f>+F15-H15-J15-L15</f>
        <v>-1</v>
      </c>
    </row>
    <row r="16" spans="1:14">
      <c r="F16" s="15"/>
      <c r="G16" s="15"/>
      <c r="H16" s="15"/>
      <c r="I16" s="15"/>
      <c r="J16" s="15"/>
      <c r="K16" s="15"/>
      <c r="L16" s="15"/>
      <c r="M16" s="15"/>
      <c r="N16" s="15"/>
    </row>
    <row r="17" spans="1:14">
      <c r="A17" s="6">
        <f>+A15+1</f>
        <v>5</v>
      </c>
      <c r="B17" s="6" t="s">
        <v>837</v>
      </c>
      <c r="D17" s="6">
        <v>924</v>
      </c>
      <c r="F17" s="14">
        <v>3896676</v>
      </c>
      <c r="G17" s="15"/>
      <c r="H17" s="14">
        <v>754610</v>
      </c>
      <c r="I17" s="15"/>
      <c r="J17" s="14">
        <v>3142154</v>
      </c>
      <c r="K17" s="15"/>
      <c r="L17" s="14">
        <v>-88</v>
      </c>
      <c r="M17" s="15"/>
      <c r="N17" s="16">
        <f>+F17-H17-J17-L17</f>
        <v>0</v>
      </c>
    </row>
    <row r="18" spans="1:14">
      <c r="F18" s="15"/>
      <c r="G18" s="15"/>
      <c r="H18" s="15"/>
      <c r="I18" s="15"/>
      <c r="J18" s="15"/>
      <c r="K18" s="15"/>
      <c r="L18" s="15"/>
      <c r="M18" s="15"/>
      <c r="N18" s="15"/>
    </row>
    <row r="19" spans="1:14">
      <c r="A19" s="6">
        <f>+A17+1</f>
        <v>6</v>
      </c>
      <c r="B19" s="6" t="s">
        <v>838</v>
      </c>
      <c r="D19" s="6">
        <v>925</v>
      </c>
      <c r="F19" s="14">
        <v>3473319</v>
      </c>
      <c r="G19" s="15"/>
      <c r="H19" s="14">
        <v>356256</v>
      </c>
      <c r="I19" s="15"/>
      <c r="J19" s="14">
        <v>3113197</v>
      </c>
      <c r="K19" s="15"/>
      <c r="L19" s="14">
        <v>3866</v>
      </c>
      <c r="M19" s="15"/>
      <c r="N19" s="16">
        <f>+F19-H19-J19-L19</f>
        <v>0</v>
      </c>
    </row>
    <row r="20" spans="1:14">
      <c r="F20" s="15"/>
      <c r="G20" s="15"/>
      <c r="H20" s="15"/>
      <c r="I20" s="15"/>
      <c r="J20" s="15"/>
      <c r="K20" s="15"/>
      <c r="L20" s="15"/>
      <c r="M20" s="15"/>
      <c r="N20" s="15"/>
    </row>
    <row r="21" spans="1:14">
      <c r="A21" s="6">
        <f>+A19+1</f>
        <v>7</v>
      </c>
      <c r="B21" s="6" t="s">
        <v>839</v>
      </c>
      <c r="D21" s="6">
        <v>926</v>
      </c>
      <c r="F21" s="14">
        <v>9569704</v>
      </c>
      <c r="G21" s="15"/>
      <c r="H21" s="14">
        <v>1073395</v>
      </c>
      <c r="I21" s="15"/>
      <c r="J21" s="14">
        <v>8480650</v>
      </c>
      <c r="K21" s="15"/>
      <c r="L21" s="14">
        <v>15658</v>
      </c>
      <c r="M21" s="15"/>
      <c r="N21" s="16">
        <f>+F21-H21-J21-L21</f>
        <v>1</v>
      </c>
    </row>
    <row r="22" spans="1:14">
      <c r="F22" s="15"/>
      <c r="G22" s="15"/>
      <c r="H22" s="15"/>
      <c r="I22" s="15"/>
      <c r="J22" s="15"/>
      <c r="K22" s="15"/>
      <c r="L22" s="15"/>
      <c r="M22" s="15"/>
      <c r="N22" s="15"/>
    </row>
    <row r="23" spans="1:14">
      <c r="A23" s="6">
        <f>+A21+1</f>
        <v>8</v>
      </c>
      <c r="B23" s="6" t="s">
        <v>840</v>
      </c>
      <c r="D23" s="6">
        <v>927</v>
      </c>
      <c r="F23" s="14">
        <v>0</v>
      </c>
      <c r="G23" s="15"/>
      <c r="H23" s="14">
        <v>0</v>
      </c>
      <c r="I23" s="15"/>
      <c r="J23" s="14">
        <v>0</v>
      </c>
      <c r="K23" s="15"/>
      <c r="L23" s="14">
        <v>0</v>
      </c>
      <c r="M23" s="15"/>
      <c r="N23" s="16">
        <f>+F23-H23-J23-L23</f>
        <v>0</v>
      </c>
    </row>
    <row r="24" spans="1:14">
      <c r="F24" s="15"/>
      <c r="G24" s="15"/>
      <c r="H24" s="15"/>
      <c r="I24" s="15"/>
      <c r="J24" s="15"/>
      <c r="K24" s="15"/>
      <c r="L24" s="15"/>
      <c r="M24" s="15"/>
      <c r="N24" s="15"/>
    </row>
    <row r="25" spans="1:14">
      <c r="A25" s="6">
        <f>+A23+1</f>
        <v>9</v>
      </c>
      <c r="B25" s="6" t="s">
        <v>841</v>
      </c>
      <c r="D25" s="6">
        <v>928</v>
      </c>
      <c r="F25" s="14">
        <v>3517286</v>
      </c>
      <c r="G25" s="15"/>
      <c r="H25" s="14">
        <v>0</v>
      </c>
      <c r="I25" s="15"/>
      <c r="J25" s="14">
        <v>3517286</v>
      </c>
      <c r="K25" s="15"/>
      <c r="L25" s="14">
        <v>0</v>
      </c>
      <c r="M25" s="15"/>
      <c r="N25" s="16">
        <f>+F25-H25-J25-L25</f>
        <v>0</v>
      </c>
    </row>
    <row r="26" spans="1:14">
      <c r="F26" s="15"/>
      <c r="G26" s="15"/>
      <c r="H26" s="15"/>
      <c r="I26" s="15"/>
      <c r="J26" s="15"/>
      <c r="K26" s="15"/>
      <c r="L26" s="15"/>
      <c r="M26" s="15"/>
      <c r="N26" s="15"/>
    </row>
    <row r="27" spans="1:14">
      <c r="A27" s="6">
        <f>+A25+1</f>
        <v>10</v>
      </c>
      <c r="B27" s="6" t="s">
        <v>842</v>
      </c>
      <c r="D27" s="6">
        <v>929</v>
      </c>
      <c r="F27" s="14">
        <v>-719427</v>
      </c>
      <c r="G27" s="15"/>
      <c r="H27" s="14">
        <v>0</v>
      </c>
      <c r="I27" s="15"/>
      <c r="J27" s="14">
        <v>-719427</v>
      </c>
      <c r="K27" s="15"/>
      <c r="L27" s="14">
        <v>0</v>
      </c>
      <c r="M27" s="15"/>
      <c r="N27" s="16">
        <f>+F27-H27-J27-L27</f>
        <v>0</v>
      </c>
    </row>
    <row r="28" spans="1:14">
      <c r="F28" s="15"/>
      <c r="G28" s="15"/>
      <c r="H28" s="15"/>
      <c r="I28" s="15"/>
      <c r="J28" s="15"/>
      <c r="K28" s="15"/>
      <c r="L28" s="15"/>
      <c r="M28" s="15"/>
      <c r="N28" s="15"/>
    </row>
    <row r="29" spans="1:14">
      <c r="A29" s="6">
        <f>+A27+1</f>
        <v>11</v>
      </c>
      <c r="B29" s="6" t="s">
        <v>843</v>
      </c>
      <c r="D29" s="6">
        <v>930.1</v>
      </c>
      <c r="F29" s="14">
        <v>570024</v>
      </c>
      <c r="G29" s="15"/>
      <c r="H29" s="14">
        <v>29679</v>
      </c>
      <c r="I29" s="15"/>
      <c r="J29" s="14">
        <v>540345</v>
      </c>
      <c r="K29" s="15"/>
      <c r="L29" s="14">
        <v>0</v>
      </c>
      <c r="M29" s="15"/>
      <c r="N29" s="16">
        <f>+F29-H29-J29-L29</f>
        <v>0</v>
      </c>
    </row>
    <row r="30" spans="1:14">
      <c r="F30" s="15"/>
      <c r="G30" s="15"/>
      <c r="H30" s="15"/>
      <c r="I30" s="15"/>
      <c r="J30" s="15"/>
      <c r="K30" s="15"/>
      <c r="L30" s="15"/>
      <c r="M30" s="15"/>
      <c r="N30" s="15"/>
    </row>
    <row r="31" spans="1:14">
      <c r="A31" s="6">
        <f>+A29+1</f>
        <v>12</v>
      </c>
      <c r="B31" s="6" t="s">
        <v>844</v>
      </c>
      <c r="D31" s="6">
        <v>930.2</v>
      </c>
      <c r="F31" s="14">
        <v>3302716</v>
      </c>
      <c r="G31" s="15"/>
      <c r="H31" s="14">
        <v>9104</v>
      </c>
      <c r="I31" s="15"/>
      <c r="J31" s="14">
        <v>3294255</v>
      </c>
      <c r="K31" s="15"/>
      <c r="L31" s="14">
        <v>-643</v>
      </c>
      <c r="M31" s="15"/>
      <c r="N31" s="16">
        <f>+F31-H31-J31-L31</f>
        <v>0</v>
      </c>
    </row>
    <row r="32" spans="1:14">
      <c r="F32" s="15"/>
      <c r="G32" s="15"/>
      <c r="H32" s="15"/>
      <c r="I32" s="15"/>
      <c r="J32" s="15"/>
      <c r="K32" s="15"/>
      <c r="L32" s="15"/>
      <c r="M32" s="15"/>
      <c r="N32" s="15"/>
    </row>
    <row r="33" spans="1:14">
      <c r="A33" s="6">
        <f>+A31+1</f>
        <v>13</v>
      </c>
      <c r="B33" s="6" t="s">
        <v>845</v>
      </c>
      <c r="D33" s="6">
        <v>931</v>
      </c>
      <c r="F33" s="14">
        <v>113609</v>
      </c>
      <c r="G33" s="15"/>
      <c r="H33" s="14">
        <v>2473</v>
      </c>
      <c r="I33" s="15"/>
      <c r="J33" s="14">
        <v>111136</v>
      </c>
      <c r="K33" s="15"/>
      <c r="L33" s="14">
        <v>0</v>
      </c>
      <c r="M33" s="15"/>
      <c r="N33" s="16">
        <f>+F33-H33-J33-L33</f>
        <v>0</v>
      </c>
    </row>
    <row r="34" spans="1:14">
      <c r="F34" s="15"/>
      <c r="G34" s="15"/>
      <c r="H34" s="15"/>
      <c r="I34" s="15"/>
      <c r="J34" s="15"/>
      <c r="K34" s="15"/>
      <c r="L34" s="15"/>
      <c r="M34" s="15"/>
      <c r="N34" s="15"/>
    </row>
    <row r="35" spans="1:14">
      <c r="A35" s="6">
        <f>+A33+1</f>
        <v>14</v>
      </c>
      <c r="B35" s="6" t="s">
        <v>846</v>
      </c>
      <c r="D35" s="6">
        <v>935</v>
      </c>
      <c r="F35" s="14">
        <v>4033279</v>
      </c>
      <c r="G35" s="15"/>
      <c r="H35" s="14">
        <v>299845</v>
      </c>
      <c r="I35" s="15"/>
      <c r="J35" s="14">
        <v>3733433</v>
      </c>
      <c r="K35" s="15"/>
      <c r="L35" s="14">
        <v>0</v>
      </c>
      <c r="M35" s="15"/>
      <c r="N35" s="16">
        <f>+F35-H35-J35-L35</f>
        <v>1</v>
      </c>
    </row>
    <row r="36" spans="1:14">
      <c r="F36" s="15"/>
      <c r="G36" s="15"/>
      <c r="H36" s="15"/>
      <c r="I36" s="15"/>
      <c r="J36" s="15"/>
      <c r="K36" s="15"/>
      <c r="L36" s="15"/>
      <c r="M36" s="15"/>
      <c r="N36" s="15"/>
    </row>
    <row r="37" spans="1:14">
      <c r="A37" s="6">
        <f>+A35+1</f>
        <v>15</v>
      </c>
      <c r="B37" s="6" t="s">
        <v>64</v>
      </c>
      <c r="F37" s="15">
        <f>+SUM(F9:F35)</f>
        <v>73522883</v>
      </c>
      <c r="G37" s="15"/>
      <c r="H37" s="15">
        <f>+SUM(H9:H35)</f>
        <v>9087258</v>
      </c>
      <c r="I37" s="15"/>
      <c r="J37" s="15">
        <f>+SUM(J9:J35)</f>
        <v>64354295</v>
      </c>
      <c r="K37" s="15"/>
      <c r="L37" s="15">
        <f>+SUM(L9:L35)</f>
        <v>81329</v>
      </c>
      <c r="M37" s="15"/>
      <c r="N37" s="15">
        <f>+SUM(N9:N35)</f>
        <v>1</v>
      </c>
    </row>
  </sheetData>
  <mergeCells count="5">
    <mergeCell ref="B1:M1"/>
    <mergeCell ref="B2:M2"/>
    <mergeCell ref="B3:M3"/>
    <mergeCell ref="B4:M4"/>
    <mergeCell ref="H6:L6"/>
  </mergeCells>
  <pageMargins left="0.7" right="0.7" top="0.75" bottom="0.75" header="0.3" footer="0.3"/>
  <pageSetup scale="56" orientation="portrait"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27"/>
  <sheetViews>
    <sheetView zoomScale="85" zoomScaleNormal="85" workbookViewId="0">
      <selection activeCell="B3" sqref="B3"/>
    </sheetView>
  </sheetViews>
  <sheetFormatPr defaultColWidth="8.7109375" defaultRowHeight="14.25"/>
  <cols>
    <col min="1" max="1" width="4.5703125" style="6" customWidth="1"/>
    <col min="2" max="2" width="33.7109375" style="6" customWidth="1"/>
    <col min="3" max="3" width="12.140625" style="6" bestFit="1" customWidth="1"/>
    <col min="4" max="4" width="12.140625" style="6" customWidth="1"/>
    <col min="5" max="5" width="17.42578125" style="6" customWidth="1"/>
    <col min="6" max="6" width="12.140625" style="6" customWidth="1"/>
    <col min="7" max="7" width="13.140625" style="6" bestFit="1" customWidth="1"/>
    <col min="8" max="8" width="18.28515625" style="6" customWidth="1"/>
    <col min="9" max="9" width="16.140625" style="6" customWidth="1"/>
    <col min="10" max="10" width="16.42578125" style="6" customWidth="1"/>
    <col min="11" max="13" width="14.7109375" style="6" customWidth="1"/>
    <col min="14" max="14" width="19.42578125" style="6" customWidth="1"/>
    <col min="15" max="15" width="11.28515625" style="6" bestFit="1" customWidth="1"/>
    <col min="16" max="17" width="11.28515625" style="6" customWidth="1"/>
    <col min="18" max="18" width="14.7109375" style="6" customWidth="1"/>
    <col min="19" max="19" width="21.7109375" style="6" customWidth="1"/>
    <col min="20" max="16384" width="8.7109375" style="6"/>
  </cols>
  <sheetData>
    <row r="1" spans="1:19" ht="15">
      <c r="H1" s="11" t="s">
        <v>0</v>
      </c>
      <c r="S1" s="24"/>
    </row>
    <row r="2" spans="1:19" ht="15">
      <c r="H2" s="11" t="s">
        <v>298</v>
      </c>
    </row>
    <row r="3" spans="1:19" ht="15">
      <c r="B3" s="515"/>
      <c r="C3" s="516"/>
      <c r="D3" s="516"/>
      <c r="E3" s="516"/>
      <c r="F3" s="516"/>
      <c r="G3" s="516"/>
      <c r="H3" s="516" t="s">
        <v>1007</v>
      </c>
      <c r="I3" s="17"/>
      <c r="J3" s="516"/>
      <c r="K3" s="516"/>
      <c r="L3" s="516"/>
      <c r="M3" s="516"/>
      <c r="N3" s="516"/>
      <c r="O3" s="516"/>
      <c r="P3" s="516"/>
      <c r="Q3" s="516"/>
      <c r="R3" s="516"/>
    </row>
    <row r="4" spans="1:19" ht="20.25">
      <c r="B4" s="701" t="s">
        <v>1024</v>
      </c>
      <c r="C4" s="701"/>
      <c r="D4" s="701"/>
      <c r="E4" s="516"/>
      <c r="F4" s="516"/>
      <c r="G4" s="516"/>
      <c r="H4" s="516"/>
      <c r="I4" s="17"/>
      <c r="J4" s="516"/>
      <c r="K4" s="516"/>
      <c r="L4" s="516"/>
      <c r="M4" s="516"/>
      <c r="N4" s="516"/>
      <c r="O4" s="516"/>
      <c r="P4" s="516"/>
      <c r="Q4" s="516"/>
      <c r="R4" s="516"/>
    </row>
    <row r="5" spans="1:19" ht="15">
      <c r="B5" s="6" t="s">
        <v>299</v>
      </c>
      <c r="C5" s="516"/>
      <c r="D5" s="516"/>
      <c r="E5" s="516"/>
      <c r="F5" s="516"/>
      <c r="G5" s="516"/>
      <c r="H5" s="516"/>
      <c r="I5" s="17"/>
      <c r="J5" s="516"/>
      <c r="K5" s="516"/>
      <c r="L5" s="516"/>
      <c r="M5" s="516"/>
      <c r="N5" s="516"/>
      <c r="O5" s="516"/>
      <c r="P5" s="516"/>
      <c r="Q5" s="516"/>
      <c r="R5" s="516"/>
    </row>
    <row r="6" spans="1:19">
      <c r="B6" s="517" t="s">
        <v>789</v>
      </c>
      <c r="C6" s="518"/>
      <c r="D6" s="518"/>
      <c r="E6" s="518"/>
      <c r="F6" s="518"/>
      <c r="G6" s="518"/>
      <c r="J6" s="518"/>
      <c r="K6" s="518"/>
      <c r="L6" s="518"/>
      <c r="M6" s="518"/>
      <c r="N6" s="518"/>
      <c r="O6" s="518"/>
      <c r="P6" s="518"/>
      <c r="Q6" s="518"/>
      <c r="R6" s="518"/>
    </row>
    <row r="7" spans="1:19">
      <c r="B7" s="519" t="s">
        <v>344</v>
      </c>
      <c r="C7" s="518"/>
      <c r="D7" s="518"/>
      <c r="E7" s="518"/>
      <c r="F7" s="518"/>
      <c r="G7" s="518"/>
      <c r="H7" s="518"/>
      <c r="I7" s="518"/>
      <c r="J7" s="518"/>
      <c r="K7" s="518"/>
      <c r="L7" s="518"/>
      <c r="M7" s="518"/>
      <c r="N7" s="518"/>
      <c r="O7" s="518"/>
      <c r="P7" s="518"/>
      <c r="Q7" s="518"/>
      <c r="R7" s="518"/>
    </row>
    <row r="8" spans="1:19">
      <c r="B8" s="515" t="s">
        <v>300</v>
      </c>
      <c r="C8" s="515" t="s">
        <v>301</v>
      </c>
      <c r="D8" s="515" t="s">
        <v>302</v>
      </c>
      <c r="E8" s="515" t="s">
        <v>303</v>
      </c>
      <c r="F8" s="515" t="s">
        <v>304</v>
      </c>
      <c r="G8" s="515" t="s">
        <v>305</v>
      </c>
      <c r="H8" s="515" t="s">
        <v>306</v>
      </c>
      <c r="I8" s="515" t="s">
        <v>307</v>
      </c>
      <c r="J8" s="515" t="s">
        <v>308</v>
      </c>
      <c r="K8" s="515" t="s">
        <v>309</v>
      </c>
      <c r="L8" s="515" t="s">
        <v>310</v>
      </c>
      <c r="M8" s="515" t="s">
        <v>311</v>
      </c>
      <c r="N8" s="515" t="s">
        <v>312</v>
      </c>
      <c r="O8" s="515" t="s">
        <v>313</v>
      </c>
      <c r="P8" s="515" t="s">
        <v>314</v>
      </c>
      <c r="Q8" s="515" t="s">
        <v>315</v>
      </c>
      <c r="R8" s="515" t="s">
        <v>316</v>
      </c>
      <c r="S8" s="515" t="s">
        <v>941</v>
      </c>
    </row>
    <row r="9" spans="1:19" ht="57">
      <c r="B9" s="520" t="s">
        <v>317</v>
      </c>
      <c r="C9" s="520" t="s">
        <v>318</v>
      </c>
      <c r="D9" s="520" t="s">
        <v>319</v>
      </c>
      <c r="E9" s="520" t="s">
        <v>320</v>
      </c>
      <c r="F9" s="520" t="s">
        <v>321</v>
      </c>
      <c r="G9" s="520" t="s">
        <v>322</v>
      </c>
      <c r="H9" s="520" t="s">
        <v>323</v>
      </c>
      <c r="I9" s="520" t="s">
        <v>224</v>
      </c>
      <c r="J9" s="520" t="s">
        <v>345</v>
      </c>
      <c r="K9" s="520" t="s">
        <v>324</v>
      </c>
      <c r="L9" s="520" t="s">
        <v>20</v>
      </c>
      <c r="M9" s="520" t="s">
        <v>325</v>
      </c>
      <c r="N9" s="520" t="s">
        <v>326</v>
      </c>
      <c r="O9" s="520" t="s">
        <v>327</v>
      </c>
      <c r="P9" s="520" t="s">
        <v>65</v>
      </c>
      <c r="Q9" s="520" t="s">
        <v>328</v>
      </c>
      <c r="R9" s="520" t="s">
        <v>329</v>
      </c>
      <c r="S9" s="520" t="s">
        <v>330</v>
      </c>
    </row>
    <row r="10" spans="1:19">
      <c r="B10" s="519"/>
      <c r="C10" s="515"/>
      <c r="D10" s="515"/>
      <c r="E10" s="515"/>
      <c r="F10" s="515"/>
      <c r="G10" s="515"/>
      <c r="H10" s="515"/>
      <c r="I10" s="515"/>
      <c r="J10" s="518"/>
      <c r="K10" s="518"/>
      <c r="L10" s="518"/>
      <c r="M10" s="518"/>
      <c r="N10" s="518"/>
      <c r="O10" s="518"/>
      <c r="P10" s="518"/>
      <c r="Q10" s="518"/>
      <c r="R10" s="365"/>
      <c r="S10" s="365"/>
    </row>
    <row r="11" spans="1:19" ht="42.75">
      <c r="A11" s="17">
        <v>1</v>
      </c>
      <c r="B11" s="521" t="s">
        <v>346</v>
      </c>
      <c r="C11" s="522">
        <v>0</v>
      </c>
      <c r="D11" s="523"/>
      <c r="E11" s="523"/>
      <c r="F11" s="523"/>
      <c r="G11" s="101">
        <f>365/365</f>
        <v>1</v>
      </c>
      <c r="H11" s="36">
        <f>+J11+N11+R11</f>
        <v>0</v>
      </c>
      <c r="I11" s="38">
        <v>0</v>
      </c>
      <c r="J11" s="524">
        <f>G11*I11</f>
        <v>0</v>
      </c>
      <c r="K11" s="38">
        <v>0</v>
      </c>
      <c r="L11" s="440">
        <f>+'Appendix A'!$H$27</f>
        <v>0.16033498951641173</v>
      </c>
      <c r="M11" s="138">
        <f>+K11*L11</f>
        <v>0</v>
      </c>
      <c r="N11" s="524">
        <f>+G11*M11</f>
        <v>0</v>
      </c>
      <c r="O11" s="38">
        <v>0</v>
      </c>
      <c r="P11" s="440">
        <f>+'Appendix A'!$H$16</f>
        <v>0.15894128950099584</v>
      </c>
      <c r="Q11" s="138">
        <f>+O11*P11</f>
        <v>0</v>
      </c>
      <c r="R11" s="524">
        <f>+G11*Q11</f>
        <v>0</v>
      </c>
      <c r="S11" s="525">
        <f>+J11+N11+R11</f>
        <v>0</v>
      </c>
    </row>
    <row r="12" spans="1:19">
      <c r="A12" s="17">
        <f>+A11+1</f>
        <v>2</v>
      </c>
      <c r="B12" s="518" t="s">
        <v>331</v>
      </c>
      <c r="C12" s="522">
        <v>0</v>
      </c>
      <c r="D12" s="427">
        <v>31</v>
      </c>
      <c r="E12" s="420">
        <f>E13+D13</f>
        <v>335</v>
      </c>
      <c r="F12" s="420">
        <f>SUM(D12:D23)</f>
        <v>365</v>
      </c>
      <c r="G12" s="101">
        <f>335/365</f>
        <v>0.9178082191780822</v>
      </c>
      <c r="H12" s="36">
        <f t="shared" ref="H12:H24" si="0">+J12+N12+R12</f>
        <v>0</v>
      </c>
      <c r="I12" s="38">
        <v>0</v>
      </c>
      <c r="J12" s="524">
        <f t="shared" ref="J12:J23" si="1">G12*I12</f>
        <v>0</v>
      </c>
      <c r="K12" s="38">
        <v>0</v>
      </c>
      <c r="L12" s="440">
        <f>+'Appendix A'!$H$27</f>
        <v>0.16033498951641173</v>
      </c>
      <c r="M12" s="138">
        <f t="shared" ref="M12:M23" si="2">+K12*L12</f>
        <v>0</v>
      </c>
      <c r="N12" s="524">
        <f t="shared" ref="N12:N23" si="3">+G12*M12</f>
        <v>0</v>
      </c>
      <c r="O12" s="38">
        <v>0</v>
      </c>
      <c r="P12" s="440">
        <f>+'Appendix A'!$H$16</f>
        <v>0.15894128950099584</v>
      </c>
      <c r="Q12" s="138">
        <f t="shared" ref="Q12:Q23" si="4">+O12*P12</f>
        <v>0</v>
      </c>
      <c r="R12" s="524">
        <f t="shared" ref="R12:R23" si="5">+G12*Q12</f>
        <v>0</v>
      </c>
      <c r="S12" s="525">
        <f t="shared" ref="S12:S24" si="6">+J12+N12+R12</f>
        <v>0</v>
      </c>
    </row>
    <row r="13" spans="1:19">
      <c r="A13" s="17">
        <f t="shared" ref="A13:A24" si="7">+A12+1</f>
        <v>3</v>
      </c>
      <c r="B13" s="518" t="s">
        <v>332</v>
      </c>
      <c r="C13" s="523">
        <f>+$C$12</f>
        <v>0</v>
      </c>
      <c r="D13" s="526">
        <v>28</v>
      </c>
      <c r="E13" s="420">
        <f t="shared" ref="E13:E20" si="8">E14+D14</f>
        <v>307</v>
      </c>
      <c r="F13" s="420">
        <f>F12</f>
        <v>365</v>
      </c>
      <c r="G13" s="101">
        <f>307/365</f>
        <v>0.84109589041095889</v>
      </c>
      <c r="H13" s="36">
        <f t="shared" si="0"/>
        <v>0</v>
      </c>
      <c r="I13" s="38">
        <v>0</v>
      </c>
      <c r="J13" s="524">
        <f t="shared" si="1"/>
        <v>0</v>
      </c>
      <c r="K13" s="38">
        <v>0</v>
      </c>
      <c r="L13" s="440">
        <f>+'Appendix A'!$H$27</f>
        <v>0.16033498951641173</v>
      </c>
      <c r="M13" s="138">
        <f t="shared" si="2"/>
        <v>0</v>
      </c>
      <c r="N13" s="524">
        <f t="shared" si="3"/>
        <v>0</v>
      </c>
      <c r="O13" s="38">
        <v>0</v>
      </c>
      <c r="P13" s="440">
        <f>+'Appendix A'!$H$16</f>
        <v>0.15894128950099584</v>
      </c>
      <c r="Q13" s="138">
        <f t="shared" si="4"/>
        <v>0</v>
      </c>
      <c r="R13" s="524">
        <f t="shared" si="5"/>
        <v>0</v>
      </c>
      <c r="S13" s="525">
        <f t="shared" si="6"/>
        <v>0</v>
      </c>
    </row>
    <row r="14" spans="1:19">
      <c r="A14" s="17">
        <f t="shared" si="7"/>
        <v>4</v>
      </c>
      <c r="B14" s="518" t="s">
        <v>333</v>
      </c>
      <c r="C14" s="523">
        <f t="shared" ref="C14:C23" si="9">+$C$12</f>
        <v>0</v>
      </c>
      <c r="D14" s="427">
        <v>31</v>
      </c>
      <c r="E14" s="420">
        <f t="shared" si="8"/>
        <v>276</v>
      </c>
      <c r="F14" s="420">
        <f t="shared" ref="F14:F23" si="10">F13</f>
        <v>365</v>
      </c>
      <c r="G14" s="101">
        <f>276/365</f>
        <v>0.75616438356164384</v>
      </c>
      <c r="H14" s="36">
        <f t="shared" si="0"/>
        <v>0</v>
      </c>
      <c r="I14" s="38">
        <v>0</v>
      </c>
      <c r="J14" s="524">
        <f t="shared" si="1"/>
        <v>0</v>
      </c>
      <c r="K14" s="38">
        <v>0</v>
      </c>
      <c r="L14" s="440">
        <f>+'Appendix A'!$H$27</f>
        <v>0.16033498951641173</v>
      </c>
      <c r="M14" s="138">
        <f t="shared" si="2"/>
        <v>0</v>
      </c>
      <c r="N14" s="524">
        <f t="shared" si="3"/>
        <v>0</v>
      </c>
      <c r="O14" s="38">
        <v>0</v>
      </c>
      <c r="P14" s="440">
        <f>+'Appendix A'!$H$16</f>
        <v>0.15894128950099584</v>
      </c>
      <c r="Q14" s="138">
        <f t="shared" si="4"/>
        <v>0</v>
      </c>
      <c r="R14" s="524">
        <f t="shared" si="5"/>
        <v>0</v>
      </c>
      <c r="S14" s="525">
        <f t="shared" si="6"/>
        <v>0</v>
      </c>
    </row>
    <row r="15" spans="1:19">
      <c r="A15" s="17">
        <f t="shared" si="7"/>
        <v>5</v>
      </c>
      <c r="B15" s="518" t="s">
        <v>334</v>
      </c>
      <c r="C15" s="523">
        <f t="shared" si="9"/>
        <v>0</v>
      </c>
      <c r="D15" s="427">
        <v>30</v>
      </c>
      <c r="E15" s="420">
        <f t="shared" si="8"/>
        <v>246</v>
      </c>
      <c r="F15" s="420">
        <f t="shared" si="10"/>
        <v>365</v>
      </c>
      <c r="G15" s="101">
        <f>246/365</f>
        <v>0.67397260273972603</v>
      </c>
      <c r="H15" s="36">
        <f t="shared" si="0"/>
        <v>0</v>
      </c>
      <c r="I15" s="38">
        <v>0</v>
      </c>
      <c r="J15" s="524">
        <f t="shared" si="1"/>
        <v>0</v>
      </c>
      <c r="K15" s="38">
        <v>0</v>
      </c>
      <c r="L15" s="440">
        <f>+'Appendix A'!$H$27</f>
        <v>0.16033498951641173</v>
      </c>
      <c r="M15" s="138">
        <f t="shared" si="2"/>
        <v>0</v>
      </c>
      <c r="N15" s="524">
        <f t="shared" si="3"/>
        <v>0</v>
      </c>
      <c r="O15" s="38">
        <v>0</v>
      </c>
      <c r="P15" s="440">
        <f>+'Appendix A'!$H$16</f>
        <v>0.15894128950099584</v>
      </c>
      <c r="Q15" s="138">
        <f t="shared" si="4"/>
        <v>0</v>
      </c>
      <c r="R15" s="524">
        <f t="shared" si="5"/>
        <v>0</v>
      </c>
      <c r="S15" s="525">
        <f t="shared" si="6"/>
        <v>0</v>
      </c>
    </row>
    <row r="16" spans="1:19">
      <c r="A16" s="17">
        <f t="shared" si="7"/>
        <v>6</v>
      </c>
      <c r="B16" s="518" t="s">
        <v>335</v>
      </c>
      <c r="C16" s="523">
        <f t="shared" si="9"/>
        <v>0</v>
      </c>
      <c r="D16" s="427">
        <v>31</v>
      </c>
      <c r="E16" s="420">
        <f t="shared" si="8"/>
        <v>215</v>
      </c>
      <c r="F16" s="420">
        <f t="shared" si="10"/>
        <v>365</v>
      </c>
      <c r="G16" s="101">
        <f>215/365</f>
        <v>0.58904109589041098</v>
      </c>
      <c r="H16" s="36">
        <f t="shared" si="0"/>
        <v>0</v>
      </c>
      <c r="I16" s="38">
        <v>0</v>
      </c>
      <c r="J16" s="524">
        <f t="shared" si="1"/>
        <v>0</v>
      </c>
      <c r="K16" s="38">
        <v>0</v>
      </c>
      <c r="L16" s="440">
        <f>+'Appendix A'!$H$27</f>
        <v>0.16033498951641173</v>
      </c>
      <c r="M16" s="138">
        <f t="shared" si="2"/>
        <v>0</v>
      </c>
      <c r="N16" s="524">
        <f t="shared" si="3"/>
        <v>0</v>
      </c>
      <c r="O16" s="38">
        <v>0</v>
      </c>
      <c r="P16" s="440">
        <f>+'Appendix A'!$H$16</f>
        <v>0.15894128950099584</v>
      </c>
      <c r="Q16" s="138">
        <f t="shared" si="4"/>
        <v>0</v>
      </c>
      <c r="R16" s="524">
        <f t="shared" si="5"/>
        <v>0</v>
      </c>
      <c r="S16" s="525">
        <f t="shared" si="6"/>
        <v>0</v>
      </c>
    </row>
    <row r="17" spans="1:19">
      <c r="A17" s="17">
        <f t="shared" si="7"/>
        <v>7</v>
      </c>
      <c r="B17" s="518" t="s">
        <v>336</v>
      </c>
      <c r="C17" s="523">
        <f t="shared" si="9"/>
        <v>0</v>
      </c>
      <c r="D17" s="427">
        <v>30</v>
      </c>
      <c r="E17" s="420">
        <f t="shared" si="8"/>
        <v>185</v>
      </c>
      <c r="F17" s="420">
        <f t="shared" si="10"/>
        <v>365</v>
      </c>
      <c r="G17" s="101">
        <f>185/365</f>
        <v>0.50684931506849318</v>
      </c>
      <c r="H17" s="36">
        <f t="shared" si="0"/>
        <v>0</v>
      </c>
      <c r="I17" s="38">
        <v>0</v>
      </c>
      <c r="J17" s="524">
        <f t="shared" si="1"/>
        <v>0</v>
      </c>
      <c r="K17" s="38">
        <v>0</v>
      </c>
      <c r="L17" s="440">
        <f>+'Appendix A'!$H$27</f>
        <v>0.16033498951641173</v>
      </c>
      <c r="M17" s="138">
        <f t="shared" si="2"/>
        <v>0</v>
      </c>
      <c r="N17" s="524">
        <f t="shared" si="3"/>
        <v>0</v>
      </c>
      <c r="O17" s="38">
        <v>0</v>
      </c>
      <c r="P17" s="440">
        <f>+'Appendix A'!$H$16</f>
        <v>0.15894128950099584</v>
      </c>
      <c r="Q17" s="138">
        <f t="shared" si="4"/>
        <v>0</v>
      </c>
      <c r="R17" s="524">
        <f t="shared" si="5"/>
        <v>0</v>
      </c>
      <c r="S17" s="525">
        <f t="shared" si="6"/>
        <v>0</v>
      </c>
    </row>
    <row r="18" spans="1:19">
      <c r="A18" s="17">
        <f t="shared" si="7"/>
        <v>8</v>
      </c>
      <c r="B18" s="518" t="s">
        <v>337</v>
      </c>
      <c r="C18" s="523">
        <f t="shared" si="9"/>
        <v>0</v>
      </c>
      <c r="D18" s="427">
        <v>31</v>
      </c>
      <c r="E18" s="420">
        <f t="shared" si="8"/>
        <v>154</v>
      </c>
      <c r="F18" s="420">
        <f t="shared" si="10"/>
        <v>365</v>
      </c>
      <c r="G18" s="101">
        <f>154/365</f>
        <v>0.42191780821917807</v>
      </c>
      <c r="H18" s="36">
        <f t="shared" si="0"/>
        <v>0</v>
      </c>
      <c r="I18" s="38">
        <v>0</v>
      </c>
      <c r="J18" s="524">
        <f t="shared" si="1"/>
        <v>0</v>
      </c>
      <c r="K18" s="38">
        <v>0</v>
      </c>
      <c r="L18" s="440">
        <f>+'Appendix A'!$H$27</f>
        <v>0.16033498951641173</v>
      </c>
      <c r="M18" s="138">
        <f t="shared" si="2"/>
        <v>0</v>
      </c>
      <c r="N18" s="524">
        <f t="shared" si="3"/>
        <v>0</v>
      </c>
      <c r="O18" s="38">
        <v>0</v>
      </c>
      <c r="P18" s="440">
        <f>+'Appendix A'!$H$16</f>
        <v>0.15894128950099584</v>
      </c>
      <c r="Q18" s="138">
        <f t="shared" si="4"/>
        <v>0</v>
      </c>
      <c r="R18" s="524">
        <f t="shared" si="5"/>
        <v>0</v>
      </c>
      <c r="S18" s="525">
        <f t="shared" si="6"/>
        <v>0</v>
      </c>
    </row>
    <row r="19" spans="1:19">
      <c r="A19" s="17">
        <f t="shared" si="7"/>
        <v>9</v>
      </c>
      <c r="B19" s="518" t="s">
        <v>338</v>
      </c>
      <c r="C19" s="523">
        <f t="shared" si="9"/>
        <v>0</v>
      </c>
      <c r="D19" s="427">
        <v>31</v>
      </c>
      <c r="E19" s="420">
        <f t="shared" si="8"/>
        <v>123</v>
      </c>
      <c r="F19" s="420">
        <f t="shared" si="10"/>
        <v>365</v>
      </c>
      <c r="G19" s="101">
        <f>123/365</f>
        <v>0.33698630136986302</v>
      </c>
      <c r="H19" s="36">
        <f t="shared" si="0"/>
        <v>0</v>
      </c>
      <c r="I19" s="38">
        <v>0</v>
      </c>
      <c r="J19" s="524">
        <f t="shared" si="1"/>
        <v>0</v>
      </c>
      <c r="K19" s="38">
        <v>0</v>
      </c>
      <c r="L19" s="440">
        <f>+'Appendix A'!$H$27</f>
        <v>0.16033498951641173</v>
      </c>
      <c r="M19" s="138">
        <f t="shared" si="2"/>
        <v>0</v>
      </c>
      <c r="N19" s="524">
        <f t="shared" si="3"/>
        <v>0</v>
      </c>
      <c r="O19" s="38">
        <v>0</v>
      </c>
      <c r="P19" s="440">
        <f>+'Appendix A'!$H$16</f>
        <v>0.15894128950099584</v>
      </c>
      <c r="Q19" s="138">
        <f t="shared" si="4"/>
        <v>0</v>
      </c>
      <c r="R19" s="524">
        <f t="shared" si="5"/>
        <v>0</v>
      </c>
      <c r="S19" s="525">
        <f t="shared" si="6"/>
        <v>0</v>
      </c>
    </row>
    <row r="20" spans="1:19">
      <c r="A20" s="17">
        <f t="shared" si="7"/>
        <v>10</v>
      </c>
      <c r="B20" s="518" t="s">
        <v>339</v>
      </c>
      <c r="C20" s="523">
        <f t="shared" si="9"/>
        <v>0</v>
      </c>
      <c r="D20" s="427">
        <v>30</v>
      </c>
      <c r="E20" s="420">
        <f t="shared" si="8"/>
        <v>93</v>
      </c>
      <c r="F20" s="420">
        <f t="shared" si="10"/>
        <v>365</v>
      </c>
      <c r="G20" s="101">
        <f>93/365</f>
        <v>0.25479452054794521</v>
      </c>
      <c r="H20" s="36">
        <f t="shared" si="0"/>
        <v>0</v>
      </c>
      <c r="I20" s="38">
        <v>0</v>
      </c>
      <c r="J20" s="524">
        <f t="shared" si="1"/>
        <v>0</v>
      </c>
      <c r="K20" s="38">
        <v>0</v>
      </c>
      <c r="L20" s="440">
        <f>+'Appendix A'!$H$27</f>
        <v>0.16033498951641173</v>
      </c>
      <c r="M20" s="138">
        <f t="shared" si="2"/>
        <v>0</v>
      </c>
      <c r="N20" s="524">
        <f t="shared" si="3"/>
        <v>0</v>
      </c>
      <c r="O20" s="38">
        <v>0</v>
      </c>
      <c r="P20" s="440">
        <f>+'Appendix A'!$H$16</f>
        <v>0.15894128950099584</v>
      </c>
      <c r="Q20" s="138">
        <f t="shared" si="4"/>
        <v>0</v>
      </c>
      <c r="R20" s="524">
        <f t="shared" si="5"/>
        <v>0</v>
      </c>
      <c r="S20" s="525">
        <f t="shared" si="6"/>
        <v>0</v>
      </c>
    </row>
    <row r="21" spans="1:19">
      <c r="A21" s="17">
        <f t="shared" si="7"/>
        <v>11</v>
      </c>
      <c r="B21" s="518" t="s">
        <v>340</v>
      </c>
      <c r="C21" s="523">
        <f t="shared" si="9"/>
        <v>0</v>
      </c>
      <c r="D21" s="427">
        <v>31</v>
      </c>
      <c r="E21" s="420">
        <f>E22+D22</f>
        <v>62</v>
      </c>
      <c r="F21" s="420">
        <f t="shared" si="10"/>
        <v>365</v>
      </c>
      <c r="G21" s="101">
        <f>62/365</f>
        <v>0.16986301369863013</v>
      </c>
      <c r="H21" s="36">
        <f t="shared" si="0"/>
        <v>0</v>
      </c>
      <c r="I21" s="38">
        <v>0</v>
      </c>
      <c r="J21" s="524">
        <f t="shared" si="1"/>
        <v>0</v>
      </c>
      <c r="K21" s="38">
        <v>0</v>
      </c>
      <c r="L21" s="440">
        <f>+'Appendix A'!$H$27</f>
        <v>0.16033498951641173</v>
      </c>
      <c r="M21" s="138">
        <f t="shared" si="2"/>
        <v>0</v>
      </c>
      <c r="N21" s="524">
        <f t="shared" si="3"/>
        <v>0</v>
      </c>
      <c r="O21" s="38">
        <v>0</v>
      </c>
      <c r="P21" s="440">
        <f>+'Appendix A'!$H$16</f>
        <v>0.15894128950099584</v>
      </c>
      <c r="Q21" s="138">
        <f t="shared" si="4"/>
        <v>0</v>
      </c>
      <c r="R21" s="524">
        <f t="shared" si="5"/>
        <v>0</v>
      </c>
      <c r="S21" s="525">
        <f t="shared" si="6"/>
        <v>0</v>
      </c>
    </row>
    <row r="22" spans="1:19">
      <c r="A22" s="17">
        <f t="shared" si="7"/>
        <v>12</v>
      </c>
      <c r="B22" s="518" t="s">
        <v>341</v>
      </c>
      <c r="C22" s="523">
        <f t="shared" si="9"/>
        <v>0</v>
      </c>
      <c r="D22" s="427">
        <v>30</v>
      </c>
      <c r="E22" s="420">
        <f>E23+D23</f>
        <v>32</v>
      </c>
      <c r="F22" s="420">
        <f t="shared" si="10"/>
        <v>365</v>
      </c>
      <c r="G22" s="101">
        <f>32/365</f>
        <v>8.7671232876712329E-2</v>
      </c>
      <c r="H22" s="36">
        <f t="shared" si="0"/>
        <v>0</v>
      </c>
      <c r="I22" s="38">
        <v>0</v>
      </c>
      <c r="J22" s="524">
        <f t="shared" si="1"/>
        <v>0</v>
      </c>
      <c r="K22" s="38">
        <v>0</v>
      </c>
      <c r="L22" s="440">
        <f>+'Appendix A'!$H$27</f>
        <v>0.16033498951641173</v>
      </c>
      <c r="M22" s="138">
        <f t="shared" si="2"/>
        <v>0</v>
      </c>
      <c r="N22" s="524">
        <f t="shared" si="3"/>
        <v>0</v>
      </c>
      <c r="O22" s="38">
        <v>0</v>
      </c>
      <c r="P22" s="440">
        <f>+'Appendix A'!$H$16</f>
        <v>0.15894128950099584</v>
      </c>
      <c r="Q22" s="138">
        <f t="shared" si="4"/>
        <v>0</v>
      </c>
      <c r="R22" s="524">
        <f t="shared" si="5"/>
        <v>0</v>
      </c>
      <c r="S22" s="525">
        <f t="shared" si="6"/>
        <v>0</v>
      </c>
    </row>
    <row r="23" spans="1:19" ht="16.5">
      <c r="A23" s="17">
        <f t="shared" si="7"/>
        <v>13</v>
      </c>
      <c r="B23" s="518" t="s">
        <v>342</v>
      </c>
      <c r="C23" s="523">
        <f t="shared" si="9"/>
        <v>0</v>
      </c>
      <c r="D23" s="427">
        <v>31</v>
      </c>
      <c r="E23" s="420">
        <v>1</v>
      </c>
      <c r="F23" s="420">
        <f t="shared" si="10"/>
        <v>365</v>
      </c>
      <c r="G23" s="101">
        <f>1/365</f>
        <v>2.7397260273972603E-3</v>
      </c>
      <c r="H23" s="527">
        <f t="shared" si="0"/>
        <v>0</v>
      </c>
      <c r="I23" s="528">
        <v>0</v>
      </c>
      <c r="J23" s="529">
        <f t="shared" si="1"/>
        <v>0</v>
      </c>
      <c r="K23" s="528">
        <v>0</v>
      </c>
      <c r="L23" s="440">
        <f>+'Appendix A'!$H$27</f>
        <v>0.16033498951641173</v>
      </c>
      <c r="M23" s="138">
        <f t="shared" si="2"/>
        <v>0</v>
      </c>
      <c r="N23" s="529">
        <f t="shared" si="3"/>
        <v>0</v>
      </c>
      <c r="O23" s="528">
        <v>0</v>
      </c>
      <c r="P23" s="440">
        <f>+'Appendix A'!$H$16</f>
        <v>0.15894128950099584</v>
      </c>
      <c r="Q23" s="138">
        <f t="shared" si="4"/>
        <v>0</v>
      </c>
      <c r="R23" s="529">
        <f t="shared" si="5"/>
        <v>0</v>
      </c>
      <c r="S23" s="530">
        <f t="shared" si="6"/>
        <v>0</v>
      </c>
    </row>
    <row r="24" spans="1:19">
      <c r="A24" s="17">
        <f t="shared" si="7"/>
        <v>14</v>
      </c>
      <c r="B24" s="531" t="s">
        <v>343</v>
      </c>
      <c r="C24" s="518"/>
      <c r="D24" s="532">
        <f>+SUM(D12:D23)</f>
        <v>365</v>
      </c>
      <c r="E24" s="518"/>
      <c r="F24" s="518"/>
      <c r="G24" s="518"/>
      <c r="H24" s="36">
        <f t="shared" si="0"/>
        <v>0</v>
      </c>
      <c r="I24" s="524">
        <f>SUM(I11:I23)</f>
        <v>0</v>
      </c>
      <c r="J24" s="524">
        <f t="shared" ref="J24:O24" si="11">SUM(J11:J23)</f>
        <v>0</v>
      </c>
      <c r="K24" s="524">
        <f t="shared" si="11"/>
        <v>0</v>
      </c>
      <c r="L24" s="524"/>
      <c r="M24" s="524"/>
      <c r="N24" s="524">
        <f t="shared" ref="N24" si="12">SUM(N11:N23)</f>
        <v>0</v>
      </c>
      <c r="O24" s="524">
        <f t="shared" si="11"/>
        <v>0</v>
      </c>
      <c r="P24" s="524"/>
      <c r="Q24" s="524"/>
      <c r="R24" s="524">
        <f t="shared" ref="R24" si="13">SUM(R11:R23)</f>
        <v>0</v>
      </c>
      <c r="S24" s="525">
        <f t="shared" si="6"/>
        <v>0</v>
      </c>
    </row>
    <row r="25" spans="1:19">
      <c r="A25" s="17"/>
      <c r="B25" s="531"/>
      <c r="C25" s="518"/>
      <c r="D25" s="532"/>
      <c r="E25" s="518"/>
      <c r="F25" s="518"/>
      <c r="G25" s="518"/>
      <c r="H25" s="532"/>
      <c r="I25" s="532"/>
      <c r="J25" s="532"/>
      <c r="K25" s="532"/>
      <c r="L25" s="532"/>
      <c r="M25" s="532"/>
      <c r="N25" s="532"/>
      <c r="O25" s="532"/>
      <c r="P25" s="532"/>
      <c r="Q25" s="532"/>
      <c r="R25" s="532"/>
    </row>
    <row r="26" spans="1:19">
      <c r="A26" s="17"/>
      <c r="B26" s="531"/>
      <c r="C26" s="518"/>
      <c r="D26" s="532"/>
      <c r="E26" s="518"/>
      <c r="F26" s="518"/>
      <c r="G26" s="518"/>
      <c r="H26" s="532"/>
      <c r="I26" s="532"/>
      <c r="J26" s="532"/>
      <c r="K26" s="532"/>
      <c r="L26" s="532"/>
      <c r="M26" s="532"/>
      <c r="N26" s="532"/>
      <c r="O26" s="532"/>
      <c r="P26" s="532"/>
      <c r="Q26" s="532"/>
      <c r="R26" s="532"/>
    </row>
    <row r="27" spans="1:19">
      <c r="B27" s="6" t="s">
        <v>965</v>
      </c>
    </row>
  </sheetData>
  <phoneticPr fontId="27" type="noConversion"/>
  <pageMargins left="0.7" right="0.7" top="0.75" bottom="0.75" header="0.3" footer="0.3"/>
  <pageSetup scale="35" orientation="landscape" verticalDpi="0" r:id="rId1"/>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15"/>
  <sheetViews>
    <sheetView showGridLines="0" zoomScale="85" zoomScaleNormal="85" workbookViewId="0">
      <selection activeCell="E60" sqref="E60"/>
    </sheetView>
  </sheetViews>
  <sheetFormatPr defaultColWidth="18.7109375" defaultRowHeight="14.25"/>
  <cols>
    <col min="1" max="1" width="5.85546875" style="6" customWidth="1"/>
    <col min="2" max="2" width="65.7109375" style="10" customWidth="1"/>
    <col min="3" max="3" width="38.7109375" style="6" bestFit="1" customWidth="1"/>
    <col min="4" max="4" width="22.7109375" style="6" customWidth="1"/>
    <col min="5" max="5" width="23.7109375" style="6" customWidth="1"/>
    <col min="6" max="6" width="24.7109375" style="6" customWidth="1"/>
    <col min="7" max="7" width="24" style="6" bestFit="1" customWidth="1"/>
    <col min="8" max="8" width="24" style="6" customWidth="1"/>
    <col min="9" max="9" width="135.28515625" style="6" customWidth="1"/>
    <col min="10" max="10" width="19.28515625" style="6" customWidth="1"/>
    <col min="11" max="16384" width="18.7109375" style="6"/>
  </cols>
  <sheetData>
    <row r="1" spans="1:10" ht="15">
      <c r="B1" s="711" t="str">
        <f>+'Appendix A'!A3</f>
        <v>Dayton Power and Light</v>
      </c>
      <c r="C1" s="712"/>
      <c r="D1" s="712"/>
      <c r="E1" s="712"/>
      <c r="F1" s="712"/>
      <c r="G1" s="712"/>
      <c r="H1" s="712"/>
      <c r="I1" s="712"/>
    </row>
    <row r="2" spans="1:10" ht="15">
      <c r="B2" s="711" t="str">
        <f>+'1A - ADIT'!B2:I2</f>
        <v xml:space="preserve">ATTACHMENT H-15A </v>
      </c>
      <c r="C2" s="711"/>
      <c r="D2" s="711"/>
      <c r="E2" s="711"/>
      <c r="F2" s="711"/>
      <c r="G2" s="711"/>
      <c r="H2" s="711"/>
      <c r="I2" s="711"/>
    </row>
    <row r="3" spans="1:10" ht="15">
      <c r="B3" s="711" t="s">
        <v>347</v>
      </c>
      <c r="C3" s="711"/>
      <c r="D3" s="711"/>
      <c r="E3" s="711"/>
      <c r="F3" s="711"/>
      <c r="G3" s="711"/>
      <c r="H3" s="711"/>
      <c r="I3" s="711"/>
    </row>
    <row r="5" spans="1:10">
      <c r="B5" s="336"/>
      <c r="C5" s="336"/>
      <c r="D5" s="441" t="s">
        <v>223</v>
      </c>
      <c r="E5" s="441"/>
      <c r="G5" s="441"/>
      <c r="H5" s="441"/>
    </row>
    <row r="6" spans="1:10">
      <c r="D6" s="441" t="s">
        <v>224</v>
      </c>
      <c r="E6" s="441" t="s">
        <v>225</v>
      </c>
      <c r="F6" s="441" t="s">
        <v>226</v>
      </c>
      <c r="G6" s="441"/>
      <c r="H6" s="441" t="s">
        <v>64</v>
      </c>
      <c r="I6" s="24"/>
    </row>
    <row r="7" spans="1:10">
      <c r="D7" s="441" t="s">
        <v>228</v>
      </c>
      <c r="E7" s="441" t="s">
        <v>228</v>
      </c>
      <c r="F7" s="441" t="s">
        <v>228</v>
      </c>
      <c r="G7" s="441"/>
      <c r="H7" s="441" t="s">
        <v>229</v>
      </c>
      <c r="I7" s="442"/>
    </row>
    <row r="8" spans="1:10">
      <c r="B8" s="443"/>
      <c r="C8" s="443"/>
      <c r="D8" s="443"/>
      <c r="E8" s="443"/>
      <c r="F8" s="443"/>
      <c r="H8" s="443"/>
      <c r="I8" s="442"/>
      <c r="J8" s="443"/>
    </row>
    <row r="9" spans="1:10">
      <c r="A9" s="17">
        <v>1</v>
      </c>
      <c r="C9" s="446" t="s">
        <v>240</v>
      </c>
      <c r="D9" s="444">
        <f>+E40</f>
        <v>0</v>
      </c>
      <c r="E9" s="444">
        <f>+F40</f>
        <v>432285</v>
      </c>
      <c r="F9" s="444">
        <f>+G40</f>
        <v>4565502.41</v>
      </c>
      <c r="G9" s="444"/>
      <c r="H9" s="444"/>
      <c r="I9" s="122" t="str">
        <f>"(Line "&amp;A40&amp;")"</f>
        <v>(Line 22)</v>
      </c>
    </row>
    <row r="10" spans="1:10">
      <c r="A10" s="17">
        <f>+A9+1</f>
        <v>2</v>
      </c>
      <c r="C10" s="446" t="s">
        <v>275</v>
      </c>
      <c r="D10" s="444">
        <f>+E61</f>
        <v>-2049349</v>
      </c>
      <c r="E10" s="444">
        <f>+F61</f>
        <v>0</v>
      </c>
      <c r="F10" s="444">
        <f>+G61</f>
        <v>0</v>
      </c>
      <c r="G10" s="444"/>
      <c r="H10" s="444"/>
      <c r="I10" s="122" t="str">
        <f>"(Line "&amp;A61&amp;")"</f>
        <v>(Line 25)</v>
      </c>
    </row>
    <row r="11" spans="1:10">
      <c r="A11" s="17">
        <f>+A10+1</f>
        <v>3</v>
      </c>
      <c r="C11" s="501" t="s">
        <v>282</v>
      </c>
      <c r="D11" s="502">
        <f>+E87</f>
        <v>-467727</v>
      </c>
      <c r="E11" s="502">
        <f>+F87</f>
        <v>0</v>
      </c>
      <c r="F11" s="502">
        <f>+G87</f>
        <v>0</v>
      </c>
      <c r="G11" s="502"/>
      <c r="H11" s="444"/>
      <c r="I11" s="122" t="str">
        <f>"(Line "&amp;A87&amp;")"</f>
        <v>(Line 36)</v>
      </c>
    </row>
    <row r="12" spans="1:10">
      <c r="A12" s="17">
        <f>+A11+1</f>
        <v>4</v>
      </c>
      <c r="C12" s="446" t="s">
        <v>84</v>
      </c>
      <c r="D12" s="444">
        <f>+SUM(D9:D11)</f>
        <v>-2517076</v>
      </c>
      <c r="E12" s="444">
        <f t="shared" ref="E12:F12" si="0">+SUM(E9:E11)</f>
        <v>432285</v>
      </c>
      <c r="F12" s="444">
        <f t="shared" si="0"/>
        <v>4565502.41</v>
      </c>
      <c r="G12" s="444"/>
      <c r="H12" s="444"/>
      <c r="I12" s="122" t="str">
        <f>"(Line "&amp;A9&amp;" + Line "&amp;A10&amp;" + "&amp;A11&amp;")"</f>
        <v>(Line 1 + Line 2 + 3)</v>
      </c>
    </row>
    <row r="13" spans="1:10">
      <c r="A13" s="17">
        <f t="shared" ref="A13:A14" si="1">+A12+1</f>
        <v>5</v>
      </c>
      <c r="C13" s="446" t="s">
        <v>12</v>
      </c>
      <c r="F13" s="440">
        <f>'Appendix A'!H16</f>
        <v>0.15894128950099584</v>
      </c>
      <c r="I13" s="350" t="str">
        <f>"(Appendix A, Line "&amp;'Appendix A'!A16&amp;")"</f>
        <v>(Appendix A, Line 5)</v>
      </c>
    </row>
    <row r="14" spans="1:10">
      <c r="A14" s="17">
        <f t="shared" si="1"/>
        <v>6</v>
      </c>
      <c r="C14" s="446" t="s">
        <v>20</v>
      </c>
      <c r="E14" s="440">
        <f>'Appendix A'!H27</f>
        <v>0.16033498951641173</v>
      </c>
      <c r="I14" s="350" t="str">
        <f>"(Appendix A, Line "&amp;'Appendix A'!A27&amp;")"</f>
        <v>(Appendix A, Line 12)</v>
      </c>
    </row>
    <row r="15" spans="1:10" ht="15">
      <c r="A15" s="17">
        <f>+A14+1</f>
        <v>7</v>
      </c>
      <c r="C15" s="446" t="s">
        <v>233</v>
      </c>
      <c r="D15" s="444">
        <f>+D12</f>
        <v>-2517076</v>
      </c>
      <c r="E15" s="444">
        <f>+E14*E12</f>
        <v>69310.410943102048</v>
      </c>
      <c r="F15" s="444">
        <f>+F13*F12</f>
        <v>725646.8402653042</v>
      </c>
      <c r="G15" s="444"/>
      <c r="H15" s="445">
        <f>SUM(D15:G15)</f>
        <v>-1722118.7487915936</v>
      </c>
      <c r="I15" s="122" t="str">
        <f>"(Line "&amp;A12&amp;" * Line "&amp;A13&amp;" or Line "&amp;A14&amp;")"</f>
        <v>(Line 4 * Line 5 or Line 6)</v>
      </c>
    </row>
    <row r="16" spans="1:10" ht="29.25" customHeight="1">
      <c r="A16" s="17"/>
      <c r="C16" s="446"/>
      <c r="D16" s="444"/>
      <c r="E16" s="444"/>
      <c r="F16" s="444"/>
      <c r="G16" s="445"/>
      <c r="H16" s="445"/>
      <c r="I16" s="122"/>
    </row>
    <row r="17" spans="1:28" ht="15">
      <c r="A17" s="17"/>
      <c r="B17" s="10" t="s">
        <v>348</v>
      </c>
      <c r="C17" s="446"/>
      <c r="D17" s="444"/>
      <c r="E17" s="444"/>
      <c r="F17" s="444"/>
      <c r="G17" s="445"/>
      <c r="H17" s="445"/>
      <c r="I17" s="122"/>
      <c r="J17" s="19"/>
    </row>
    <row r="18" spans="1:28">
      <c r="A18" s="17"/>
      <c r="B18" s="6"/>
      <c r="I18" s="122"/>
    </row>
    <row r="19" spans="1:28">
      <c r="A19" s="17"/>
      <c r="B19" s="10" t="s">
        <v>938</v>
      </c>
      <c r="I19" s="122"/>
    </row>
    <row r="20" spans="1:28">
      <c r="A20" s="17"/>
      <c r="B20" s="10" t="s">
        <v>239</v>
      </c>
    </row>
    <row r="21" spans="1:28">
      <c r="A21" s="17"/>
      <c r="G21" s="446"/>
      <c r="H21" s="446"/>
    </row>
    <row r="22" spans="1:28" ht="15">
      <c r="A22" s="17"/>
      <c r="B22" s="11" t="s">
        <v>194</v>
      </c>
      <c r="C22" s="11" t="s">
        <v>196</v>
      </c>
      <c r="D22" s="11" t="s">
        <v>197</v>
      </c>
      <c r="E22" s="11" t="s">
        <v>198</v>
      </c>
      <c r="F22" s="11" t="s">
        <v>200</v>
      </c>
      <c r="G22" s="11" t="s">
        <v>202</v>
      </c>
      <c r="H22" s="11"/>
      <c r="I22" s="11" t="s">
        <v>204</v>
      </c>
    </row>
    <row r="23" spans="1:28" ht="25.15" customHeight="1">
      <c r="A23" s="17"/>
      <c r="C23" s="441" t="s">
        <v>64</v>
      </c>
      <c r="D23" s="441"/>
      <c r="E23" s="441" t="s">
        <v>223</v>
      </c>
      <c r="F23" s="441"/>
      <c r="G23" s="441"/>
      <c r="H23" s="441"/>
    </row>
    <row r="24" spans="1:28" ht="41.25" customHeight="1">
      <c r="A24" s="17"/>
      <c r="B24" s="447" t="s">
        <v>240</v>
      </c>
      <c r="C24" s="441"/>
      <c r="D24" s="441"/>
      <c r="E24" s="441" t="s">
        <v>224</v>
      </c>
      <c r="F24" s="441" t="s">
        <v>225</v>
      </c>
      <c r="G24" s="441" t="s">
        <v>226</v>
      </c>
      <c r="H24" s="441"/>
      <c r="X24" s="503"/>
      <c r="Y24" s="503"/>
      <c r="Z24" s="503"/>
      <c r="AA24" s="503"/>
      <c r="AB24" s="503"/>
    </row>
    <row r="25" spans="1:28" ht="25.15" customHeight="1" thickBot="1">
      <c r="A25" s="17"/>
      <c r="C25" s="441"/>
      <c r="D25" s="441" t="s">
        <v>241</v>
      </c>
      <c r="E25" s="441" t="s">
        <v>228</v>
      </c>
      <c r="F25" s="441" t="s">
        <v>228</v>
      </c>
      <c r="G25" s="441" t="s">
        <v>228</v>
      </c>
      <c r="H25" s="448"/>
      <c r="I25" s="441" t="s">
        <v>242</v>
      </c>
    </row>
    <row r="26" spans="1:28" ht="42.75" customHeight="1" thickBot="1">
      <c r="A26" s="17">
        <f>+A15+1</f>
        <v>8</v>
      </c>
      <c r="B26" s="449" t="s">
        <v>243</v>
      </c>
      <c r="C26" s="504">
        <f>1066644-37733</f>
        <v>1028911</v>
      </c>
      <c r="D26" s="451">
        <v>0</v>
      </c>
      <c r="E26" s="451">
        <v>0</v>
      </c>
      <c r="F26" s="451">
        <v>0</v>
      </c>
      <c r="G26" s="451">
        <f>+C26</f>
        <v>1028911</v>
      </c>
      <c r="H26" s="452"/>
      <c r="I26" s="453" t="s">
        <v>244</v>
      </c>
    </row>
    <row r="27" spans="1:28" ht="38.25" customHeight="1" thickBot="1">
      <c r="A27" s="17">
        <f>+A26+1</f>
        <v>9</v>
      </c>
      <c r="B27" s="454" t="s">
        <v>245</v>
      </c>
      <c r="C27" s="455">
        <v>3929091.5500000003</v>
      </c>
      <c r="D27" s="456">
        <f>+C27</f>
        <v>3929091.5500000003</v>
      </c>
      <c r="E27" s="456">
        <v>0</v>
      </c>
      <c r="F27" s="456">
        <v>0</v>
      </c>
      <c r="G27" s="451">
        <v>0</v>
      </c>
      <c r="H27" s="457"/>
      <c r="I27" s="453" t="s">
        <v>246</v>
      </c>
    </row>
    <row r="28" spans="1:28" ht="35.25" customHeight="1">
      <c r="A28" s="17">
        <f t="shared" ref="A28:A39" si="2">+A27+1</f>
        <v>10</v>
      </c>
      <c r="B28" s="454" t="s">
        <v>247</v>
      </c>
      <c r="C28" s="455">
        <v>1188723.83</v>
      </c>
      <c r="D28" s="456">
        <v>0</v>
      </c>
      <c r="E28" s="456">
        <v>0</v>
      </c>
      <c r="F28" s="456">
        <v>0</v>
      </c>
      <c r="G28" s="451">
        <f t="shared" ref="G28" si="3">+C28</f>
        <v>1188723.83</v>
      </c>
      <c r="H28" s="457"/>
      <c r="I28" s="453" t="s">
        <v>244</v>
      </c>
    </row>
    <row r="29" spans="1:28" ht="25.15" customHeight="1">
      <c r="A29" s="17">
        <f t="shared" si="2"/>
        <v>11</v>
      </c>
      <c r="B29" s="458" t="s">
        <v>248</v>
      </c>
      <c r="C29" s="455">
        <v>-1010449.2</v>
      </c>
      <c r="D29" s="456">
        <v>0</v>
      </c>
      <c r="E29" s="456">
        <v>0</v>
      </c>
      <c r="F29" s="456">
        <f>+C29</f>
        <v>-1010449.2</v>
      </c>
      <c r="G29" s="456">
        <v>0</v>
      </c>
      <c r="H29" s="457"/>
      <c r="I29" s="459" t="s">
        <v>249</v>
      </c>
    </row>
    <row r="30" spans="1:28" ht="25.15" customHeight="1">
      <c r="A30" s="17">
        <f t="shared" si="2"/>
        <v>12</v>
      </c>
      <c r="B30" s="454" t="s">
        <v>250</v>
      </c>
      <c r="C30" s="455">
        <v>1197240.0900000001</v>
      </c>
      <c r="D30" s="456">
        <v>0</v>
      </c>
      <c r="E30" s="456">
        <v>0</v>
      </c>
      <c r="F30" s="456">
        <v>0</v>
      </c>
      <c r="G30" s="456">
        <f>+C30</f>
        <v>1197240.0900000001</v>
      </c>
      <c r="H30" s="457"/>
      <c r="I30" s="453" t="s">
        <v>251</v>
      </c>
    </row>
    <row r="31" spans="1:28" ht="25.15" customHeight="1">
      <c r="A31" s="17">
        <f t="shared" si="2"/>
        <v>13</v>
      </c>
      <c r="B31" s="454" t="s">
        <v>252</v>
      </c>
      <c r="C31" s="455">
        <v>937976.08</v>
      </c>
      <c r="D31" s="456">
        <f>+C31</f>
        <v>937976.08</v>
      </c>
      <c r="E31" s="456">
        <v>0</v>
      </c>
      <c r="F31" s="456"/>
      <c r="G31" s="456">
        <v>0</v>
      </c>
      <c r="H31" s="457"/>
      <c r="I31" s="453" t="s">
        <v>349</v>
      </c>
    </row>
    <row r="32" spans="1:28" ht="25.15" customHeight="1">
      <c r="A32" s="17">
        <f t="shared" si="2"/>
        <v>14</v>
      </c>
      <c r="B32" s="454" t="s">
        <v>254</v>
      </c>
      <c r="C32" s="505">
        <v>1150627.49</v>
      </c>
      <c r="D32" s="456">
        <v>0</v>
      </c>
      <c r="E32" s="456">
        <v>0</v>
      </c>
      <c r="F32" s="456">
        <v>0</v>
      </c>
      <c r="G32" s="456">
        <f>+C32</f>
        <v>1150627.49</v>
      </c>
      <c r="H32" s="457"/>
      <c r="I32" s="453" t="s">
        <v>255</v>
      </c>
    </row>
    <row r="33" spans="1:9" ht="35.1" customHeight="1">
      <c r="A33" s="17">
        <f t="shared" si="2"/>
        <v>15</v>
      </c>
      <c r="B33" s="454" t="s">
        <v>256</v>
      </c>
      <c r="C33" s="505">
        <v>312361</v>
      </c>
      <c r="D33" s="456">
        <f>+C33</f>
        <v>312361</v>
      </c>
      <c r="E33" s="456">
        <v>0</v>
      </c>
      <c r="F33" s="456">
        <v>0</v>
      </c>
      <c r="G33" s="456">
        <v>0</v>
      </c>
      <c r="H33" s="457"/>
      <c r="I33" s="453" t="s">
        <v>257</v>
      </c>
    </row>
    <row r="34" spans="1:9" ht="35.1" customHeight="1">
      <c r="A34" s="17">
        <f t="shared" si="2"/>
        <v>16</v>
      </c>
      <c r="B34" s="454" t="s">
        <v>258</v>
      </c>
      <c r="C34" s="505">
        <v>432285</v>
      </c>
      <c r="D34" s="456">
        <v>0</v>
      </c>
      <c r="E34" s="456">
        <v>0</v>
      </c>
      <c r="F34" s="456">
        <f>+C34</f>
        <v>432285</v>
      </c>
      <c r="G34" s="456">
        <v>0</v>
      </c>
      <c r="H34" s="457"/>
      <c r="I34" s="453" t="s">
        <v>942</v>
      </c>
    </row>
    <row r="35" spans="1:9" ht="35.1" customHeight="1">
      <c r="A35" s="17">
        <f t="shared" si="2"/>
        <v>17</v>
      </c>
      <c r="B35" s="454" t="s">
        <v>259</v>
      </c>
      <c r="C35" s="505">
        <f>1288335+37017</f>
        <v>1325352</v>
      </c>
      <c r="D35" s="456">
        <f>+C35</f>
        <v>1325352</v>
      </c>
      <c r="E35" s="456">
        <v>0</v>
      </c>
      <c r="F35" s="456">
        <v>0</v>
      </c>
      <c r="G35" s="456">
        <v>0</v>
      </c>
      <c r="H35" s="457"/>
      <c r="I35" s="453" t="s">
        <v>260</v>
      </c>
    </row>
    <row r="36" spans="1:9" ht="35.1" customHeight="1">
      <c r="A36" s="17">
        <f t="shared" si="2"/>
        <v>18</v>
      </c>
      <c r="B36" s="454" t="s">
        <v>261</v>
      </c>
      <c r="C36" s="505">
        <v>-223999</v>
      </c>
      <c r="D36" s="456">
        <f>+C36</f>
        <v>-223999</v>
      </c>
      <c r="E36" s="456">
        <v>0</v>
      </c>
      <c r="F36" s="456">
        <v>0</v>
      </c>
      <c r="G36" s="456">
        <v>0</v>
      </c>
      <c r="H36" s="457"/>
      <c r="I36" s="453" t="s">
        <v>1019</v>
      </c>
    </row>
    <row r="37" spans="1:9" ht="35.1" customHeight="1">
      <c r="A37" s="17">
        <f>+A36+1</f>
        <v>19</v>
      </c>
      <c r="B37" s="454" t="s">
        <v>262</v>
      </c>
      <c r="C37" s="506">
        <f>+-323286+-135756+3264+8962+7113</f>
        <v>-439703</v>
      </c>
      <c r="D37" s="456">
        <f>+C37</f>
        <v>-439703</v>
      </c>
      <c r="E37" s="456">
        <v>0</v>
      </c>
      <c r="F37" s="456">
        <v>0</v>
      </c>
      <c r="G37" s="456">
        <v>0</v>
      </c>
      <c r="H37" s="457"/>
      <c r="I37" s="453" t="s">
        <v>263</v>
      </c>
    </row>
    <row r="38" spans="1:9" ht="35.1" customHeight="1">
      <c r="A38" s="17">
        <f t="shared" si="2"/>
        <v>20</v>
      </c>
      <c r="B38" s="461" t="s">
        <v>264</v>
      </c>
      <c r="C38" s="462">
        <f t="shared" ref="C38:G38" si="4">SUM(C26:C37)</f>
        <v>9828416.8399999999</v>
      </c>
      <c r="D38" s="462">
        <f t="shared" si="4"/>
        <v>5841078.6299999999</v>
      </c>
      <c r="E38" s="462">
        <f t="shared" si="4"/>
        <v>0</v>
      </c>
      <c r="F38" s="462">
        <f t="shared" si="4"/>
        <v>-578164.19999999995</v>
      </c>
      <c r="G38" s="462">
        <f t="shared" si="4"/>
        <v>4565502.41</v>
      </c>
      <c r="H38" s="462"/>
      <c r="I38" s="463"/>
    </row>
    <row r="39" spans="1:9" ht="35.1" customHeight="1">
      <c r="A39" s="17">
        <f t="shared" si="2"/>
        <v>21</v>
      </c>
      <c r="B39" s="507" t="s">
        <v>265</v>
      </c>
      <c r="C39" s="465">
        <f>SUM(D39:G39)</f>
        <v>-1010449.2</v>
      </c>
      <c r="D39" s="465">
        <f>D29</f>
        <v>0</v>
      </c>
      <c r="E39" s="466">
        <f>E29</f>
        <v>0</v>
      </c>
      <c r="F39" s="467">
        <f>F29</f>
        <v>-1010449.2</v>
      </c>
      <c r="G39" s="467">
        <f>G29</f>
        <v>0</v>
      </c>
      <c r="H39" s="467"/>
      <c r="I39" s="468" t="str">
        <f>+'1A - ADIT'!I44</f>
        <v>All FAS 109 items excluded from formula rate</v>
      </c>
    </row>
    <row r="40" spans="1:9" ht="38.25" customHeight="1" thickBot="1">
      <c r="A40" s="17">
        <f>+A39+1</f>
        <v>22</v>
      </c>
      <c r="B40" s="469" t="s">
        <v>64</v>
      </c>
      <c r="C40" s="470">
        <f>+C38-C39</f>
        <v>10838866.039999999</v>
      </c>
      <c r="D40" s="470">
        <f t="shared" ref="D40:G40" si="5">+D38-D39</f>
        <v>5841078.6299999999</v>
      </c>
      <c r="E40" s="470">
        <f t="shared" si="5"/>
        <v>0</v>
      </c>
      <c r="F40" s="470">
        <f t="shared" si="5"/>
        <v>432285</v>
      </c>
      <c r="G40" s="470">
        <f t="shared" si="5"/>
        <v>4565502.41</v>
      </c>
      <c r="H40" s="470"/>
      <c r="I40" s="471"/>
    </row>
    <row r="41" spans="1:9" ht="30" customHeight="1">
      <c r="A41" s="17"/>
      <c r="B41" s="45"/>
      <c r="C41" s="472"/>
      <c r="D41" s="473"/>
      <c r="E41" s="473"/>
      <c r="F41" s="473"/>
      <c r="G41" s="473"/>
      <c r="H41" s="473"/>
      <c r="I41" s="63"/>
    </row>
    <row r="42" spans="1:9" ht="15.75" customHeight="1">
      <c r="A42" s="17"/>
      <c r="B42" s="6" t="s">
        <v>267</v>
      </c>
      <c r="D42" s="444"/>
      <c r="E42" s="474"/>
      <c r="F42" s="17"/>
      <c r="I42" s="475"/>
    </row>
    <row r="43" spans="1:9">
      <c r="A43" s="17"/>
      <c r="B43" s="709" t="s">
        <v>350</v>
      </c>
      <c r="C43" s="709"/>
      <c r="D43" s="709"/>
      <c r="E43" s="709"/>
      <c r="F43" s="709"/>
      <c r="G43" s="709"/>
      <c r="H43" s="709"/>
      <c r="I43" s="709"/>
    </row>
    <row r="44" spans="1:9">
      <c r="A44" s="17"/>
      <c r="B44" s="10" t="s">
        <v>269</v>
      </c>
      <c r="G44" s="17"/>
      <c r="H44" s="17"/>
      <c r="I44" s="17"/>
    </row>
    <row r="45" spans="1:9">
      <c r="A45" s="17"/>
      <c r="B45" s="10" t="s">
        <v>280</v>
      </c>
      <c r="G45" s="17"/>
      <c r="H45" s="17"/>
      <c r="I45" s="17"/>
    </row>
    <row r="46" spans="1:9">
      <c r="A46" s="17"/>
      <c r="B46" s="10" t="s">
        <v>351</v>
      </c>
      <c r="G46" s="17"/>
      <c r="H46" s="17"/>
      <c r="I46" s="17"/>
    </row>
    <row r="47" spans="1:9" ht="15" customHeight="1">
      <c r="A47" s="17"/>
      <c r="B47" s="709" t="s">
        <v>352</v>
      </c>
      <c r="C47" s="709"/>
      <c r="D47" s="709"/>
      <c r="E47" s="709"/>
      <c r="F47" s="709"/>
      <c r="G47" s="709"/>
      <c r="H47" s="709"/>
      <c r="I47" s="709"/>
    </row>
    <row r="48" spans="1:9">
      <c r="A48" s="17"/>
      <c r="B48" s="10" t="s">
        <v>273</v>
      </c>
      <c r="C48" s="17"/>
      <c r="D48" s="476"/>
      <c r="E48" s="17"/>
      <c r="F48" s="17"/>
      <c r="G48" s="17"/>
      <c r="H48" s="17"/>
      <c r="I48" s="61"/>
    </row>
    <row r="49" spans="1:9">
      <c r="A49" s="17"/>
    </row>
    <row r="50" spans="1:9" ht="15">
      <c r="A50" s="17"/>
      <c r="C50" s="11"/>
      <c r="D50" s="11"/>
      <c r="E50" s="11"/>
      <c r="F50" s="11"/>
      <c r="G50" s="11"/>
      <c r="H50" s="11"/>
      <c r="I50" s="61"/>
    </row>
    <row r="51" spans="1:9" ht="15">
      <c r="A51" s="17"/>
      <c r="B51" s="708" t="str">
        <f>+B1</f>
        <v>Dayton Power and Light</v>
      </c>
      <c r="C51" s="710"/>
      <c r="D51" s="710"/>
      <c r="E51" s="710"/>
      <c r="F51" s="710"/>
      <c r="G51" s="710"/>
      <c r="H51" s="710"/>
      <c r="I51" s="710"/>
    </row>
    <row r="52" spans="1:9" ht="15">
      <c r="A52" s="17"/>
      <c r="B52" s="708" t="str">
        <f>+B2</f>
        <v xml:space="preserve">ATTACHMENT H-15A </v>
      </c>
      <c r="C52" s="708"/>
      <c r="D52" s="708"/>
      <c r="E52" s="708"/>
      <c r="F52" s="708"/>
      <c r="G52" s="708"/>
      <c r="H52" s="708"/>
      <c r="I52" s="708"/>
    </row>
    <row r="53" spans="1:9" ht="15">
      <c r="A53" s="17"/>
      <c r="B53" s="708" t="str">
        <f>+B3</f>
        <v>Attachment 1C - Accumulated Deferred Income Taxes (ADIT) Worksheet - December 31 of Prior Year</v>
      </c>
      <c r="C53" s="708"/>
      <c r="D53" s="708"/>
      <c r="E53" s="708"/>
      <c r="F53" s="708"/>
      <c r="G53" s="708"/>
      <c r="H53" s="708"/>
      <c r="I53" s="708"/>
    </row>
    <row r="54" spans="1:9" ht="15">
      <c r="A54" s="17"/>
      <c r="B54" s="713"/>
      <c r="C54" s="713"/>
      <c r="D54" s="713"/>
      <c r="E54" s="713"/>
      <c r="F54" s="713"/>
      <c r="G54" s="713"/>
      <c r="H54" s="713"/>
      <c r="I54" s="713"/>
    </row>
    <row r="55" spans="1:9" ht="25.15" customHeight="1">
      <c r="A55" s="17"/>
      <c r="B55" s="11" t="s">
        <v>194</v>
      </c>
      <c r="C55" s="11" t="s">
        <v>196</v>
      </c>
      <c r="D55" s="11" t="s">
        <v>197</v>
      </c>
      <c r="E55" s="11" t="s">
        <v>198</v>
      </c>
      <c r="F55" s="11" t="s">
        <v>200</v>
      </c>
      <c r="G55" s="11" t="s">
        <v>202</v>
      </c>
      <c r="H55" s="11"/>
      <c r="I55" s="24"/>
    </row>
    <row r="56" spans="1:9" ht="25.15" customHeight="1">
      <c r="A56" s="17"/>
      <c r="B56" s="6"/>
      <c r="C56" s="441" t="s">
        <v>64</v>
      </c>
      <c r="D56" s="441"/>
      <c r="E56" s="441" t="s">
        <v>223</v>
      </c>
      <c r="F56" s="441"/>
      <c r="G56" s="441"/>
      <c r="H56" s="441"/>
      <c r="I56" s="442"/>
    </row>
    <row r="57" spans="1:9" ht="26.45" customHeight="1">
      <c r="A57" s="17"/>
      <c r="B57" s="446" t="s">
        <v>275</v>
      </c>
      <c r="C57" s="441"/>
      <c r="D57" s="441"/>
      <c r="E57" s="441" t="s">
        <v>224</v>
      </c>
      <c r="F57" s="441" t="s">
        <v>225</v>
      </c>
      <c r="G57" s="441" t="s">
        <v>226</v>
      </c>
      <c r="H57" s="441"/>
      <c r="I57" s="442"/>
    </row>
    <row r="58" spans="1:9" ht="22.15" customHeight="1" thickBot="1">
      <c r="A58" s="17"/>
      <c r="C58" s="441"/>
      <c r="D58" s="441" t="str">
        <f>+D25</f>
        <v>Excluded</v>
      </c>
      <c r="E58" s="441" t="s">
        <v>228</v>
      </c>
      <c r="F58" s="441" t="s">
        <v>228</v>
      </c>
      <c r="G58" s="441" t="s">
        <v>228</v>
      </c>
      <c r="H58" s="441"/>
      <c r="I58" s="11" t="s">
        <v>960</v>
      </c>
    </row>
    <row r="59" spans="1:9" ht="27.6" customHeight="1">
      <c r="A59" s="17">
        <f>+A40+1</f>
        <v>23</v>
      </c>
      <c r="B59" s="508" t="s">
        <v>276</v>
      </c>
      <c r="C59" s="477">
        <f>+E59</f>
        <v>0</v>
      </c>
      <c r="D59" s="477">
        <v>0</v>
      </c>
      <c r="E59" s="451">
        <v>0</v>
      </c>
      <c r="F59" s="451">
        <v>0</v>
      </c>
      <c r="G59" s="451">
        <v>0</v>
      </c>
      <c r="H59" s="479"/>
      <c r="I59" s="509" t="s">
        <v>949</v>
      </c>
    </row>
    <row r="60" spans="1:9" ht="35.1" customHeight="1">
      <c r="A60" s="17">
        <f>+A59+1</f>
        <v>24</v>
      </c>
      <c r="B60" s="454" t="s">
        <v>783</v>
      </c>
      <c r="C60" s="456">
        <v>-602029</v>
      </c>
      <c r="D60" s="456">
        <v>1447320</v>
      </c>
      <c r="E60" s="481">
        <f>+C60-D60</f>
        <v>-2049349</v>
      </c>
      <c r="F60" s="456">
        <v>0</v>
      </c>
      <c r="G60" s="456">
        <v>0</v>
      </c>
      <c r="H60" s="457"/>
      <c r="I60" s="510" t="s">
        <v>277</v>
      </c>
    </row>
    <row r="61" spans="1:9" ht="35.1" customHeight="1" thickBot="1">
      <c r="A61" s="17">
        <f>+A60+1</f>
        <v>25</v>
      </c>
      <c r="B61" s="469" t="s">
        <v>64</v>
      </c>
      <c r="C61" s="470">
        <f>+SUM(C59:C60)</f>
        <v>-602029</v>
      </c>
      <c r="D61" s="470">
        <f t="shared" ref="D61:G61" si="6">+SUM(D59:D60)</f>
        <v>1447320</v>
      </c>
      <c r="E61" s="470">
        <f t="shared" si="6"/>
        <v>-2049349</v>
      </c>
      <c r="F61" s="470">
        <f t="shared" si="6"/>
        <v>0</v>
      </c>
      <c r="G61" s="470">
        <f t="shared" si="6"/>
        <v>0</v>
      </c>
      <c r="H61" s="470"/>
      <c r="I61" s="471"/>
    </row>
    <row r="62" spans="1:9" ht="23.45" customHeight="1">
      <c r="A62" s="17"/>
      <c r="B62" s="6" t="s">
        <v>278</v>
      </c>
      <c r="C62" s="45"/>
      <c r="D62" s="45"/>
      <c r="E62" s="11"/>
      <c r="F62" s="511"/>
      <c r="G62" s="45"/>
      <c r="H62" s="45"/>
      <c r="I62" s="63"/>
    </row>
    <row r="63" spans="1:9" ht="23.45" customHeight="1">
      <c r="A63" s="17"/>
      <c r="B63" s="10" t="s">
        <v>279</v>
      </c>
      <c r="C63" s="45"/>
      <c r="D63" s="45"/>
      <c r="E63" s="45"/>
      <c r="F63" s="45"/>
      <c r="G63" s="11"/>
      <c r="H63" s="11"/>
      <c r="I63" s="11"/>
    </row>
    <row r="64" spans="1:9" ht="15">
      <c r="A64" s="17"/>
      <c r="B64" s="10" t="s">
        <v>269</v>
      </c>
      <c r="C64" s="45"/>
      <c r="D64" s="45"/>
      <c r="E64" s="45"/>
      <c r="F64" s="45"/>
      <c r="G64" s="11"/>
      <c r="H64" s="11"/>
      <c r="I64" s="11"/>
    </row>
    <row r="65" spans="1:9" ht="18" customHeight="1">
      <c r="A65" s="17"/>
      <c r="B65" s="10" t="s">
        <v>280</v>
      </c>
      <c r="C65" s="45"/>
      <c r="D65" s="45"/>
      <c r="E65" s="45"/>
      <c r="F65" s="45"/>
      <c r="G65" s="11"/>
      <c r="H65" s="11"/>
      <c r="I65" s="11"/>
    </row>
    <row r="66" spans="1:9" ht="18" customHeight="1">
      <c r="A66" s="17"/>
      <c r="B66" s="10" t="s">
        <v>281</v>
      </c>
      <c r="C66" s="45"/>
      <c r="D66" s="45"/>
      <c r="E66" s="45"/>
      <c r="F66" s="45"/>
      <c r="G66" s="11"/>
      <c r="H66" s="11"/>
      <c r="I66" s="11"/>
    </row>
    <row r="67" spans="1:9">
      <c r="A67" s="17"/>
      <c r="B67" s="709" t="s">
        <v>352</v>
      </c>
      <c r="C67" s="709"/>
      <c r="D67" s="709"/>
      <c r="E67" s="709"/>
      <c r="F67" s="709"/>
      <c r="G67" s="709"/>
      <c r="H67" s="709"/>
      <c r="I67" s="709"/>
    </row>
    <row r="68" spans="1:9">
      <c r="A68" s="17"/>
      <c r="B68" s="10" t="s">
        <v>273</v>
      </c>
      <c r="C68" s="17"/>
      <c r="D68" s="476"/>
      <c r="E68" s="17"/>
      <c r="F68" s="17"/>
      <c r="G68" s="17"/>
      <c r="H68" s="17"/>
      <c r="I68" s="61"/>
    </row>
    <row r="69" spans="1:9" ht="15">
      <c r="A69" s="17"/>
      <c r="B69" s="11"/>
    </row>
    <row r="70" spans="1:9" ht="15">
      <c r="A70" s="17"/>
      <c r="B70" s="484" t="str">
        <f>B1</f>
        <v>Dayton Power and Light</v>
      </c>
      <c r="C70" s="26"/>
      <c r="D70" s="26"/>
      <c r="E70" s="26"/>
      <c r="F70" s="26"/>
      <c r="G70" s="26"/>
      <c r="H70" s="26"/>
      <c r="I70" s="26"/>
    </row>
    <row r="71" spans="1:9" ht="15">
      <c r="A71" s="17"/>
      <c r="B71" s="708" t="str">
        <f>+B52</f>
        <v xml:space="preserve">ATTACHMENT H-15A </v>
      </c>
      <c r="C71" s="708"/>
      <c r="D71" s="708"/>
      <c r="E71" s="708"/>
      <c r="F71" s="708"/>
      <c r="G71" s="708"/>
      <c r="H71" s="708"/>
      <c r="I71" s="708"/>
    </row>
    <row r="72" spans="1:9" ht="15">
      <c r="A72" s="17"/>
      <c r="B72" s="708" t="str">
        <f>+B3</f>
        <v>Attachment 1C - Accumulated Deferred Income Taxes (ADIT) Worksheet - December 31 of Prior Year</v>
      </c>
      <c r="C72" s="708"/>
      <c r="D72" s="708"/>
      <c r="E72" s="708"/>
      <c r="F72" s="708"/>
      <c r="G72" s="708"/>
      <c r="H72" s="708"/>
      <c r="I72" s="708"/>
    </row>
    <row r="73" spans="1:9" ht="20.100000000000001" customHeight="1">
      <c r="A73" s="17"/>
      <c r="G73" s="446"/>
      <c r="H73" s="446"/>
      <c r="I73" s="485"/>
    </row>
    <row r="74" spans="1:9" ht="36.75" customHeight="1">
      <c r="A74" s="17"/>
      <c r="B74" s="11" t="s">
        <v>194</v>
      </c>
      <c r="C74" s="11" t="s">
        <v>196</v>
      </c>
      <c r="D74" s="11" t="s">
        <v>197</v>
      </c>
      <c r="E74" s="11" t="s">
        <v>198</v>
      </c>
      <c r="F74" s="11" t="s">
        <v>200</v>
      </c>
      <c r="G74" s="11" t="s">
        <v>202</v>
      </c>
      <c r="H74" s="11"/>
      <c r="I74" s="11" t="s">
        <v>204</v>
      </c>
    </row>
    <row r="75" spans="1:9" ht="33.75" customHeight="1">
      <c r="A75" s="17"/>
      <c r="B75" s="446" t="s">
        <v>282</v>
      </c>
      <c r="C75" s="441" t="s">
        <v>64</v>
      </c>
      <c r="D75" s="486"/>
      <c r="E75" s="486" t="s">
        <v>353</v>
      </c>
      <c r="F75" s="486" t="s">
        <v>225</v>
      </c>
      <c r="G75" s="486" t="s">
        <v>226</v>
      </c>
      <c r="H75" s="11"/>
    </row>
    <row r="76" spans="1:9" ht="36" customHeight="1" thickBot="1">
      <c r="A76" s="17"/>
      <c r="C76" s="441"/>
      <c r="D76" s="441" t="str">
        <f>+D58</f>
        <v>Excluded</v>
      </c>
      <c r="E76" s="441" t="str">
        <f>+E58</f>
        <v>Related</v>
      </c>
      <c r="F76" s="441" t="str">
        <f>+F58</f>
        <v>Related</v>
      </c>
      <c r="G76" s="441" t="str">
        <f>+G58</f>
        <v>Related</v>
      </c>
      <c r="H76" s="11"/>
    </row>
    <row r="77" spans="1:9" ht="30.75" customHeight="1">
      <c r="A77" s="17">
        <f>+A61+1</f>
        <v>26</v>
      </c>
      <c r="B77" s="449" t="s">
        <v>283</v>
      </c>
      <c r="C77" s="451">
        <v>-6274880</v>
      </c>
      <c r="D77" s="451">
        <f>+C77-E77</f>
        <v>-5701420</v>
      </c>
      <c r="E77" s="451">
        <v>-573460</v>
      </c>
      <c r="F77" s="451">
        <v>0</v>
      </c>
      <c r="G77" s="451">
        <v>0</v>
      </c>
      <c r="H77" s="479"/>
      <c r="I77" s="487" t="s">
        <v>284</v>
      </c>
    </row>
    <row r="78" spans="1:9" ht="43.5" customHeight="1">
      <c r="A78" s="17">
        <f>+A77+1</f>
        <v>27</v>
      </c>
      <c r="B78" s="454" t="s">
        <v>285</v>
      </c>
      <c r="C78" s="456">
        <v>-3003279</v>
      </c>
      <c r="D78" s="456">
        <f>+C78</f>
        <v>-3003279</v>
      </c>
      <c r="E78" s="456">
        <v>0</v>
      </c>
      <c r="F78" s="456">
        <v>0</v>
      </c>
      <c r="G78" s="456">
        <v>0</v>
      </c>
      <c r="H78" s="457"/>
      <c r="I78" s="488" t="s">
        <v>286</v>
      </c>
    </row>
    <row r="79" spans="1:9" ht="40.5" customHeight="1">
      <c r="A79" s="17">
        <f t="shared" ref="A79:A87" si="7">+A78+1</f>
        <v>28</v>
      </c>
      <c r="B79" s="454" t="s">
        <v>287</v>
      </c>
      <c r="C79" s="456">
        <v>-26451165</v>
      </c>
      <c r="D79" s="456">
        <f>+C79</f>
        <v>-26451165</v>
      </c>
      <c r="E79" s="456">
        <v>0</v>
      </c>
      <c r="F79" s="456">
        <v>0</v>
      </c>
      <c r="G79" s="456">
        <v>0</v>
      </c>
      <c r="H79" s="457"/>
      <c r="I79" s="488" t="s">
        <v>943</v>
      </c>
    </row>
    <row r="80" spans="1:9" s="32" customFormat="1" ht="33" customHeight="1">
      <c r="A80" s="121">
        <f t="shared" si="7"/>
        <v>29</v>
      </c>
      <c r="B80" s="512" t="s">
        <v>288</v>
      </c>
      <c r="C80" s="456">
        <v>-25591867</v>
      </c>
      <c r="D80" s="481">
        <f>+C80</f>
        <v>-25591867</v>
      </c>
      <c r="E80" s="481">
        <v>0</v>
      </c>
      <c r="F80" s="481">
        <v>0</v>
      </c>
      <c r="G80" s="481">
        <v>0</v>
      </c>
      <c r="H80" s="457"/>
      <c r="I80" s="488" t="s">
        <v>940</v>
      </c>
    </row>
    <row r="81" spans="1:9" ht="25.15" customHeight="1">
      <c r="A81" s="17">
        <f t="shared" si="7"/>
        <v>30</v>
      </c>
      <c r="B81" s="458" t="s">
        <v>289</v>
      </c>
      <c r="C81" s="456">
        <v>17517844</v>
      </c>
      <c r="D81" s="456">
        <v>0</v>
      </c>
      <c r="E81" s="456">
        <v>0</v>
      </c>
      <c r="F81" s="456">
        <f>+C81</f>
        <v>17517844</v>
      </c>
      <c r="G81" s="456">
        <v>0</v>
      </c>
      <c r="H81" s="457"/>
      <c r="I81" s="489" t="s">
        <v>249</v>
      </c>
    </row>
    <row r="82" spans="1:9" ht="25.15" customHeight="1">
      <c r="A82" s="17">
        <f t="shared" si="7"/>
        <v>31</v>
      </c>
      <c r="B82" s="454" t="s">
        <v>290</v>
      </c>
      <c r="C82" s="456">
        <v>1156950</v>
      </c>
      <c r="D82" s="456">
        <v>1051217</v>
      </c>
      <c r="E82" s="456">
        <f>+C82-D82</f>
        <v>105733</v>
      </c>
      <c r="F82" s="456">
        <v>0</v>
      </c>
      <c r="G82" s="456">
        <v>0</v>
      </c>
      <c r="H82" s="457"/>
      <c r="I82" s="488" t="s">
        <v>291</v>
      </c>
    </row>
    <row r="83" spans="1:9" ht="25.15" customHeight="1" thickBot="1">
      <c r="A83" s="17">
        <f>+A82+1</f>
        <v>32</v>
      </c>
      <c r="B83" s="454" t="s">
        <v>262</v>
      </c>
      <c r="C83" s="456">
        <f>+-799122</f>
        <v>-799122</v>
      </c>
      <c r="D83" s="456">
        <f>+C83</f>
        <v>-799122</v>
      </c>
      <c r="E83" s="456">
        <v>0</v>
      </c>
      <c r="F83" s="456">
        <v>0</v>
      </c>
      <c r="G83" s="456">
        <v>0</v>
      </c>
      <c r="H83" s="457"/>
      <c r="I83" s="488" t="s">
        <v>354</v>
      </c>
    </row>
    <row r="84" spans="1:9" ht="35.1" customHeight="1">
      <c r="A84" s="17">
        <f t="shared" si="7"/>
        <v>33</v>
      </c>
      <c r="B84" s="490" t="s">
        <v>293</v>
      </c>
      <c r="C84" s="491">
        <f>SUM(C77:C83)</f>
        <v>-43445519</v>
      </c>
      <c r="D84" s="491">
        <f t="shared" ref="D84:G84" si="8">SUM(D77:D83)</f>
        <v>-60495636</v>
      </c>
      <c r="E84" s="491">
        <f t="shared" si="8"/>
        <v>-467727</v>
      </c>
      <c r="F84" s="491">
        <f>SUM(F77:F83)</f>
        <v>17517844</v>
      </c>
      <c r="G84" s="491">
        <f t="shared" si="8"/>
        <v>0</v>
      </c>
      <c r="H84" s="491"/>
      <c r="I84" s="492"/>
    </row>
    <row r="85" spans="1:9" ht="15.6" customHeight="1">
      <c r="A85" s="17">
        <f t="shared" si="7"/>
        <v>34</v>
      </c>
      <c r="B85" s="513" t="s">
        <v>294</v>
      </c>
      <c r="C85" s="465">
        <f>+C81</f>
        <v>17517844</v>
      </c>
      <c r="D85" s="465">
        <f>+D81</f>
        <v>0</v>
      </c>
      <c r="E85" s="465">
        <f>+E81</f>
        <v>0</v>
      </c>
      <c r="F85" s="465">
        <f>+F81</f>
        <v>17517844</v>
      </c>
      <c r="G85" s="465">
        <f>+G81</f>
        <v>0</v>
      </c>
      <c r="H85" s="494"/>
      <c r="I85" s="468"/>
    </row>
    <row r="86" spans="1:9" ht="15.6" customHeight="1">
      <c r="A86" s="17">
        <f t="shared" si="7"/>
        <v>35</v>
      </c>
      <c r="B86" s="514" t="s">
        <v>295</v>
      </c>
      <c r="C86" s="496">
        <f>+C78</f>
        <v>-3003279</v>
      </c>
      <c r="D86" s="496">
        <f>+D78</f>
        <v>-3003279</v>
      </c>
      <c r="E86" s="496">
        <f>+E78</f>
        <v>0</v>
      </c>
      <c r="F86" s="496">
        <f>+F78</f>
        <v>0</v>
      </c>
      <c r="G86" s="496">
        <f>+G78</f>
        <v>0</v>
      </c>
      <c r="H86" s="497"/>
      <c r="I86" s="498" t="s">
        <v>296</v>
      </c>
    </row>
    <row r="87" spans="1:9" ht="35.1" customHeight="1" thickBot="1">
      <c r="A87" s="17">
        <f t="shared" si="7"/>
        <v>36</v>
      </c>
      <c r="B87" s="469" t="s">
        <v>64</v>
      </c>
      <c r="C87" s="470">
        <f>+C84-C85-C86</f>
        <v>-57960084</v>
      </c>
      <c r="D87" s="470">
        <f t="shared" ref="D87:G87" si="9">+D84-D85-D86</f>
        <v>-57492357</v>
      </c>
      <c r="E87" s="470">
        <f t="shared" si="9"/>
        <v>-467727</v>
      </c>
      <c r="F87" s="470">
        <f t="shared" si="9"/>
        <v>0</v>
      </c>
      <c r="G87" s="470">
        <f t="shared" si="9"/>
        <v>0</v>
      </c>
      <c r="H87" s="470"/>
      <c r="I87" s="471"/>
    </row>
    <row r="88" spans="1:9" ht="28.15" customHeight="1">
      <c r="A88" s="17"/>
      <c r="B88" s="6" t="s">
        <v>297</v>
      </c>
      <c r="E88" s="17"/>
      <c r="F88" s="17"/>
      <c r="I88" s="499"/>
    </row>
    <row r="89" spans="1:9" ht="19.149999999999999" customHeight="1">
      <c r="A89" s="17"/>
      <c r="B89" s="10" t="str">
        <f>+B63</f>
        <v>1.  ADIT items related only to Non-Electric Operations or Production are directly assigned to Column C</v>
      </c>
      <c r="C89" s="45"/>
      <c r="D89" s="45"/>
      <c r="E89" s="45"/>
      <c r="F89" s="45"/>
      <c r="G89" s="11"/>
      <c r="H89" s="11"/>
      <c r="I89" s="11"/>
    </row>
    <row r="90" spans="1:9" ht="18.600000000000001" customHeight="1">
      <c r="A90" s="17"/>
      <c r="B90" s="10" t="s">
        <v>269</v>
      </c>
      <c r="C90" s="45"/>
      <c r="D90" s="45"/>
      <c r="E90" s="45"/>
      <c r="F90" s="45"/>
      <c r="G90" s="11"/>
      <c r="H90" s="11"/>
      <c r="I90" s="11"/>
    </row>
    <row r="91" spans="1:9" ht="15" customHeight="1">
      <c r="A91" s="17"/>
      <c r="B91" s="10" t="s">
        <v>280</v>
      </c>
      <c r="C91" s="45"/>
      <c r="D91" s="45"/>
      <c r="E91" s="45"/>
      <c r="F91" s="45"/>
      <c r="G91" s="11"/>
      <c r="H91" s="11"/>
      <c r="I91" s="11"/>
    </row>
    <row r="92" spans="1:9" ht="15">
      <c r="A92" s="17"/>
      <c r="B92" s="10" t="s">
        <v>281</v>
      </c>
      <c r="C92" s="45"/>
      <c r="D92" s="45"/>
      <c r="E92" s="45"/>
      <c r="F92" s="45"/>
      <c r="G92" s="11"/>
      <c r="H92" s="11"/>
      <c r="I92" s="11"/>
    </row>
    <row r="93" spans="1:9" ht="15.75" customHeight="1">
      <c r="A93" s="17"/>
      <c r="B93" s="709" t="s">
        <v>352</v>
      </c>
      <c r="C93" s="709"/>
      <c r="D93" s="709"/>
      <c r="E93" s="709"/>
      <c r="F93" s="709"/>
      <c r="G93" s="709"/>
      <c r="H93" s="709"/>
      <c r="I93" s="709"/>
    </row>
    <row r="94" spans="1:9" ht="15.75" customHeight="1">
      <c r="A94" s="17"/>
      <c r="B94" s="10" t="s">
        <v>273</v>
      </c>
      <c r="C94" s="17"/>
      <c r="D94" s="476"/>
      <c r="E94" s="17"/>
      <c r="F94" s="17"/>
      <c r="G94" s="17"/>
      <c r="H94" s="17"/>
      <c r="I94" s="61"/>
    </row>
    <row r="95" spans="1:9" ht="15">
      <c r="A95" s="17"/>
      <c r="B95" s="484"/>
      <c r="C95" s="26"/>
      <c r="D95" s="26"/>
      <c r="E95" s="26"/>
      <c r="F95" s="26"/>
      <c r="G95" s="26"/>
      <c r="H95" s="26"/>
      <c r="I95" s="26"/>
    </row>
    <row r="96" spans="1:9" ht="15">
      <c r="A96" s="17"/>
      <c r="B96" s="708"/>
      <c r="C96" s="708"/>
      <c r="D96" s="708"/>
      <c r="E96" s="708"/>
      <c r="F96" s="708"/>
      <c r="G96" s="708"/>
      <c r="H96" s="708"/>
      <c r="I96" s="708"/>
    </row>
    <row r="97" spans="1:9">
      <c r="A97" s="17"/>
      <c r="B97" s="6"/>
    </row>
    <row r="98" spans="1:9">
      <c r="A98" s="17"/>
      <c r="B98" s="6"/>
    </row>
    <row r="99" spans="1:9">
      <c r="A99" s="17"/>
      <c r="B99" s="6"/>
    </row>
    <row r="100" spans="1:9" ht="15">
      <c r="A100" s="17"/>
      <c r="B100" s="45"/>
      <c r="D100" s="500"/>
      <c r="E100" s="500"/>
      <c r="F100" s="500"/>
      <c r="G100" s="500"/>
      <c r="H100" s="500"/>
      <c r="I100" s="500"/>
    </row>
    <row r="101" spans="1:9" ht="15">
      <c r="B101" s="45"/>
      <c r="D101" s="500"/>
      <c r="E101" s="500"/>
      <c r="F101" s="500"/>
      <c r="G101" s="500"/>
      <c r="H101" s="500"/>
      <c r="I101" s="500"/>
    </row>
    <row r="102" spans="1:9">
      <c r="D102" s="17"/>
      <c r="E102" s="17"/>
    </row>
    <row r="103" spans="1:9">
      <c r="D103" s="117"/>
      <c r="E103" s="117"/>
    </row>
    <row r="104" spans="1:9">
      <c r="D104" s="117"/>
      <c r="E104" s="117"/>
    </row>
    <row r="105" spans="1:9">
      <c r="D105" s="117"/>
      <c r="E105" s="117"/>
    </row>
    <row r="106" spans="1:9">
      <c r="D106" s="117"/>
      <c r="E106" s="117"/>
    </row>
    <row r="107" spans="1:9">
      <c r="D107" s="117"/>
      <c r="E107" s="117"/>
    </row>
    <row r="108" spans="1:9">
      <c r="D108" s="117"/>
      <c r="E108" s="117"/>
    </row>
    <row r="109" spans="1:9">
      <c r="D109" s="117"/>
      <c r="E109" s="117"/>
    </row>
    <row r="110" spans="1:9">
      <c r="D110" s="117"/>
      <c r="E110" s="117"/>
    </row>
    <row r="111" spans="1:9">
      <c r="D111" s="117"/>
      <c r="E111" s="117"/>
    </row>
    <row r="112" spans="1:9">
      <c r="D112" s="117"/>
      <c r="E112" s="117"/>
    </row>
    <row r="113" spans="2:5">
      <c r="B113" s="6"/>
      <c r="D113" s="117"/>
      <c r="E113" s="117"/>
    </row>
    <row r="114" spans="2:5">
      <c r="D114" s="117"/>
      <c r="E114" s="117"/>
    </row>
    <row r="115" spans="2:5">
      <c r="B115" s="6"/>
      <c r="D115" s="117"/>
      <c r="E115" s="117"/>
    </row>
  </sheetData>
  <mergeCells count="14">
    <mergeCell ref="B1:I1"/>
    <mergeCell ref="B2:I2"/>
    <mergeCell ref="B3:I3"/>
    <mergeCell ref="B43:I43"/>
    <mergeCell ref="B96:I96"/>
    <mergeCell ref="B47:I47"/>
    <mergeCell ref="B51:I51"/>
    <mergeCell ref="B52:I52"/>
    <mergeCell ref="B53:I53"/>
    <mergeCell ref="B54:I54"/>
    <mergeCell ref="B71:I71"/>
    <mergeCell ref="B72:I72"/>
    <mergeCell ref="B93:I93"/>
    <mergeCell ref="B67:I67"/>
  </mergeCells>
  <printOptions horizontalCentered="1"/>
  <pageMargins left="0.75" right="0.75" top="1" bottom="1" header="0.5" footer="0.5"/>
  <pageSetup scale="33" fitToHeight="2" orientation="landscape" r:id="rId1"/>
  <headerFooter alignWithMargins="0"/>
  <rowBreaks count="1" manualBreakCount="1">
    <brk id="50" max="8"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I120"/>
  <sheetViews>
    <sheetView zoomScale="85" zoomScaleNormal="85" zoomScaleSheetLayoutView="85" workbookViewId="0">
      <selection activeCell="D19" sqref="D19"/>
    </sheetView>
  </sheetViews>
  <sheetFormatPr defaultColWidth="8.7109375" defaultRowHeight="14.25"/>
  <cols>
    <col min="1" max="1" width="5.140625" style="6" customWidth="1"/>
    <col min="2" max="2" width="28.42578125" style="6" customWidth="1"/>
    <col min="3" max="3" width="60.5703125" style="6" bestFit="1" customWidth="1"/>
    <col min="4" max="4" width="22.7109375" style="6" customWidth="1"/>
    <col min="5" max="5" width="28.7109375" style="6" customWidth="1"/>
    <col min="6" max="6" width="24.28515625" style="6" customWidth="1"/>
    <col min="7" max="7" width="24" style="6" bestFit="1" customWidth="1"/>
    <col min="8" max="8" width="24" style="6" customWidth="1"/>
    <col min="9" max="9" width="142" style="6" customWidth="1"/>
    <col min="10" max="16384" width="8.7109375" style="6"/>
  </cols>
  <sheetData>
    <row r="3" spans="1:9" ht="15">
      <c r="B3" s="711" t="s">
        <v>0</v>
      </c>
      <c r="C3" s="711"/>
      <c r="D3" s="711"/>
      <c r="E3" s="711"/>
      <c r="F3" s="711"/>
      <c r="G3" s="711"/>
      <c r="H3" s="711"/>
      <c r="I3" s="711"/>
    </row>
    <row r="4" spans="1:9" ht="15">
      <c r="B4" s="711" t="s">
        <v>1</v>
      </c>
      <c r="C4" s="711"/>
      <c r="D4" s="711"/>
      <c r="E4" s="711"/>
      <c r="F4" s="711"/>
      <c r="G4" s="711"/>
      <c r="H4" s="711"/>
      <c r="I4" s="711"/>
    </row>
    <row r="5" spans="1:9" ht="15">
      <c r="B5" s="711" t="s">
        <v>1008</v>
      </c>
      <c r="C5" s="711"/>
      <c r="D5" s="711"/>
      <c r="E5" s="711"/>
      <c r="F5" s="711"/>
      <c r="G5" s="711"/>
      <c r="H5" s="711"/>
      <c r="I5" s="711"/>
    </row>
    <row r="7" spans="1:9" ht="15">
      <c r="B7" s="44"/>
      <c r="C7" s="336"/>
      <c r="D7" s="441" t="s">
        <v>223</v>
      </c>
      <c r="E7" s="441"/>
      <c r="G7" s="441"/>
      <c r="H7" s="441"/>
    </row>
    <row r="8" spans="1:9">
      <c r="B8" s="10"/>
      <c r="D8" s="441" t="s">
        <v>224</v>
      </c>
      <c r="E8" s="441" t="s">
        <v>225</v>
      </c>
      <c r="F8" s="441" t="s">
        <v>226</v>
      </c>
      <c r="G8" s="441"/>
      <c r="H8" s="441" t="s">
        <v>64</v>
      </c>
      <c r="I8" s="24"/>
    </row>
    <row r="9" spans="1:9">
      <c r="B9" s="10"/>
      <c r="D9" s="441" t="s">
        <v>228</v>
      </c>
      <c r="E9" s="441" t="s">
        <v>228</v>
      </c>
      <c r="F9" s="441" t="s">
        <v>228</v>
      </c>
      <c r="G9" s="441"/>
      <c r="H9" s="441" t="s">
        <v>229</v>
      </c>
      <c r="I9" s="442"/>
    </row>
    <row r="10" spans="1:9">
      <c r="B10" s="443"/>
      <c r="C10" s="443"/>
      <c r="D10" s="443"/>
      <c r="E10" s="443"/>
      <c r="F10" s="443"/>
      <c r="G10" s="443"/>
      <c r="H10" s="443"/>
      <c r="I10" s="442"/>
    </row>
    <row r="11" spans="1:9">
      <c r="B11" s="10"/>
    </row>
    <row r="12" spans="1:9" ht="15">
      <c r="A12" s="17">
        <f>+A11+1</f>
        <v>1</v>
      </c>
      <c r="B12" s="10"/>
      <c r="C12" s="45" t="s">
        <v>240</v>
      </c>
      <c r="D12" s="444">
        <f>+E47</f>
        <v>0</v>
      </c>
      <c r="E12" s="444">
        <f>+F47</f>
        <v>431994</v>
      </c>
      <c r="F12" s="444">
        <f>+G47</f>
        <v>2318990</v>
      </c>
      <c r="G12" s="444"/>
      <c r="H12" s="444"/>
      <c r="I12" s="122" t="str">
        <f>"(Line "&amp;A47&amp;")"</f>
        <v>(Line 26)</v>
      </c>
    </row>
    <row r="13" spans="1:9" ht="15">
      <c r="A13" s="17">
        <f>+A12+1</f>
        <v>2</v>
      </c>
      <c r="B13" s="10"/>
      <c r="C13" s="45" t="s">
        <v>231</v>
      </c>
      <c r="D13" s="444">
        <f>+E67</f>
        <v>-2996031</v>
      </c>
      <c r="E13" s="444">
        <f>+F67</f>
        <v>0</v>
      </c>
      <c r="F13" s="444">
        <f>+G67</f>
        <v>0</v>
      </c>
      <c r="G13" s="444"/>
      <c r="H13" s="444"/>
      <c r="I13" s="122" t="str">
        <f>"(Line "&amp;A67&amp;")"</f>
        <v>(Line 29)</v>
      </c>
    </row>
    <row r="14" spans="1:9" ht="15">
      <c r="A14" s="17">
        <f>+A13+1</f>
        <v>3</v>
      </c>
      <c r="B14" s="10"/>
      <c r="C14" s="45" t="s">
        <v>282</v>
      </c>
      <c r="D14" s="444">
        <f>+E97</f>
        <v>0</v>
      </c>
      <c r="E14" s="444">
        <f>+F97</f>
        <v>0</v>
      </c>
      <c r="F14" s="444">
        <f>+G97</f>
        <v>-5565344</v>
      </c>
      <c r="G14" s="444"/>
      <c r="H14" s="444"/>
      <c r="I14" s="122" t="str">
        <f>"(Line "&amp;A97&amp;")"</f>
        <v>(Line 40)</v>
      </c>
    </row>
    <row r="15" spans="1:9" ht="15">
      <c r="A15" s="17">
        <f>+A14+1</f>
        <v>4</v>
      </c>
      <c r="B15" s="10"/>
      <c r="C15" s="45" t="s">
        <v>84</v>
      </c>
      <c r="D15" s="444">
        <f>SUM(D12:D14)</f>
        <v>-2996031</v>
      </c>
      <c r="E15" s="444">
        <f t="shared" ref="E15:F15" si="0">SUM(E12:E14)</f>
        <v>431994</v>
      </c>
      <c r="F15" s="444">
        <f t="shared" si="0"/>
        <v>-3246354</v>
      </c>
      <c r="G15" s="444"/>
      <c r="H15" s="444"/>
      <c r="I15" s="122" t="str">
        <f>"(Line "&amp;A12&amp;" + Line "&amp;A13&amp;" + Line "&amp;A14&amp;")"</f>
        <v>(Line 1 + Line 2 + Line 3)</v>
      </c>
    </row>
    <row r="16" spans="1:9" ht="15">
      <c r="A16" s="17">
        <f t="shared" ref="A16:A20" si="1">+A15+1</f>
        <v>5</v>
      </c>
      <c r="B16" s="10"/>
      <c r="C16" s="45" t="s">
        <v>12</v>
      </c>
      <c r="F16" s="440">
        <f>+'Appendix A'!H16</f>
        <v>0.15894128950099584</v>
      </c>
      <c r="I16" s="350" t="str">
        <f>"(Appendix A, Line "&amp;'Appendix A'!A16&amp;")"</f>
        <v>(Appendix A, Line 5)</v>
      </c>
    </row>
    <row r="17" spans="1:9" ht="15">
      <c r="A17" s="17">
        <f t="shared" si="1"/>
        <v>6</v>
      </c>
      <c r="B17" s="10"/>
      <c r="C17" s="45" t="s">
        <v>20</v>
      </c>
      <c r="E17" s="440">
        <f>+'Appendix A'!H27</f>
        <v>0.16033498951641173</v>
      </c>
      <c r="I17" s="350" t="str">
        <f>"(Appendix A, Line "&amp;'Appendix A'!A27&amp;")"</f>
        <v>(Appendix A, Line 12)</v>
      </c>
    </row>
    <row r="18" spans="1:9" ht="15">
      <c r="A18" s="17">
        <f>+A17+1</f>
        <v>7</v>
      </c>
      <c r="B18" s="10"/>
      <c r="C18" s="45" t="s">
        <v>233</v>
      </c>
      <c r="D18" s="19">
        <f>+D15</f>
        <v>-2996031</v>
      </c>
      <c r="E18" s="19">
        <f>+E17*E15</f>
        <v>69263.753461152766</v>
      </c>
      <c r="F18" s="19">
        <f>+F16*F15</f>
        <v>-515979.69093671587</v>
      </c>
      <c r="G18" s="19"/>
      <c r="H18" s="19">
        <f>+SUM(D18:G18)</f>
        <v>-3442746.937475563</v>
      </c>
      <c r="I18" s="122" t="str">
        <f>"(Line "&amp;A15&amp;" * Line "&amp;A16&amp;" or Line "&amp;A17&amp;")"</f>
        <v>(Line 4 * Line 5 or Line 6)</v>
      </c>
    </row>
    <row r="19" spans="1:9" ht="15">
      <c r="A19" s="17">
        <f t="shared" si="1"/>
        <v>8</v>
      </c>
      <c r="B19" s="10"/>
      <c r="C19" s="45" t="s">
        <v>234</v>
      </c>
      <c r="D19" s="19">
        <f>+'1C - ADIT Prior Year'!D15</f>
        <v>-2517076</v>
      </c>
      <c r="E19" s="19">
        <f>+'1C - ADIT Prior Year'!E15</f>
        <v>69310.410943102048</v>
      </c>
      <c r="F19" s="19">
        <f>+'1C - ADIT Prior Year'!F15</f>
        <v>725646.8402653042</v>
      </c>
      <c r="G19" s="19"/>
      <c r="H19" s="19">
        <f>+SUM(D19:G19)</f>
        <v>-1722118.7487915936</v>
      </c>
      <c r="I19" s="122" t="str">
        <f>"(Attachment 1C - ADIT Prior Year, Line "&amp;A18&amp;")"</f>
        <v>(Attachment 1C - ADIT Prior Year, Line 7)</v>
      </c>
    </row>
    <row r="20" spans="1:9" ht="15">
      <c r="A20" s="17">
        <f t="shared" si="1"/>
        <v>9</v>
      </c>
      <c r="B20" s="10"/>
      <c r="C20" s="45" t="s">
        <v>355</v>
      </c>
      <c r="D20" s="19">
        <f>(D18+D19)/2</f>
        <v>-2756553.5</v>
      </c>
      <c r="E20" s="19">
        <f>(E18+E19)/2</f>
        <v>69287.082202127407</v>
      </c>
      <c r="F20" s="19">
        <f>(F18+F19)/2</f>
        <v>104833.57466429417</v>
      </c>
      <c r="G20" s="19"/>
      <c r="H20" s="19">
        <f>+SUM(D20:G20)</f>
        <v>-2582432.8431335785</v>
      </c>
      <c r="I20" s="122" t="str">
        <f>"(Average of Line "&amp;A18&amp;" + Line "&amp;A19&amp;")"</f>
        <v>(Average of Line 7 + Line 8)</v>
      </c>
    </row>
    <row r="21" spans="1:9" ht="15">
      <c r="A21" s="17">
        <f>+A20+1</f>
        <v>10</v>
      </c>
      <c r="B21" s="45"/>
      <c r="C21" s="45" t="s">
        <v>236</v>
      </c>
      <c r="D21" s="19"/>
      <c r="E21" s="19"/>
      <c r="F21" s="19"/>
      <c r="G21" s="19"/>
      <c r="H21" s="19">
        <f>+'1E - ADIT True-Up Proration'!Q27</f>
        <v>-28376524.47044687</v>
      </c>
      <c r="I21" s="350" t="str">
        <f>"(Attachment 1E, Line "&amp;'1E - ADIT True-Up Proration'!A27&amp;")"</f>
        <v>(Attachment 1E, Line 13)</v>
      </c>
    </row>
    <row r="22" spans="1:9" ht="15">
      <c r="A22" s="17">
        <f>+A21+1</f>
        <v>11</v>
      </c>
      <c r="B22" s="45"/>
      <c r="C22" s="45" t="s">
        <v>356</v>
      </c>
      <c r="D22" s="19"/>
      <c r="E22" s="19"/>
      <c r="F22" s="19"/>
      <c r="G22" s="19"/>
      <c r="H22" s="62">
        <f>+H20+H21</f>
        <v>-30958957.31358045</v>
      </c>
    </row>
    <row r="23" spans="1:9" ht="15">
      <c r="A23" s="17"/>
      <c r="B23" s="45"/>
      <c r="C23" s="45"/>
      <c r="D23" s="444"/>
      <c r="H23" s="445"/>
    </row>
    <row r="24" spans="1:9">
      <c r="B24" s="6" t="s">
        <v>238</v>
      </c>
      <c r="H24" s="19"/>
    </row>
    <row r="26" spans="1:9">
      <c r="B26" s="10" t="s">
        <v>938</v>
      </c>
    </row>
    <row r="27" spans="1:9">
      <c r="B27" s="10" t="s">
        <v>239</v>
      </c>
    </row>
    <row r="28" spans="1:9">
      <c r="B28" s="10"/>
      <c r="G28" s="446"/>
      <c r="H28" s="446"/>
    </row>
    <row r="29" spans="1:9" ht="15">
      <c r="B29" s="11" t="s">
        <v>194</v>
      </c>
      <c r="C29" s="11" t="s">
        <v>196</v>
      </c>
      <c r="D29" s="11" t="s">
        <v>197</v>
      </c>
      <c r="E29" s="11" t="s">
        <v>198</v>
      </c>
      <c r="F29" s="11" t="s">
        <v>200</v>
      </c>
      <c r="G29" s="11" t="s">
        <v>202</v>
      </c>
      <c r="H29" s="11"/>
      <c r="I29" s="11" t="s">
        <v>204</v>
      </c>
    </row>
    <row r="30" spans="1:9">
      <c r="B30" s="10"/>
      <c r="C30" s="441" t="s">
        <v>64</v>
      </c>
      <c r="D30" s="441"/>
      <c r="E30" s="441" t="s">
        <v>223</v>
      </c>
      <c r="F30" s="441"/>
      <c r="G30" s="441"/>
      <c r="H30" s="441"/>
    </row>
    <row r="31" spans="1:9">
      <c r="B31" s="447" t="s">
        <v>971</v>
      </c>
      <c r="C31" s="441"/>
      <c r="D31" s="441"/>
      <c r="E31" s="441" t="s">
        <v>224</v>
      </c>
      <c r="F31" s="441" t="s">
        <v>225</v>
      </c>
      <c r="G31" s="441" t="s">
        <v>226</v>
      </c>
      <c r="H31" s="441"/>
    </row>
    <row r="32" spans="1:9" ht="15" thickBot="1">
      <c r="B32" s="10"/>
      <c r="C32" s="441"/>
      <c r="D32" s="441" t="s">
        <v>241</v>
      </c>
      <c r="E32" s="441" t="s">
        <v>228</v>
      </c>
      <c r="F32" s="441" t="s">
        <v>228</v>
      </c>
      <c r="G32" s="441" t="s">
        <v>228</v>
      </c>
      <c r="H32" s="448"/>
      <c r="I32" s="441" t="s">
        <v>242</v>
      </c>
    </row>
    <row r="33" spans="1:9" ht="27.6" customHeight="1">
      <c r="A33" s="17">
        <f>+A22+1</f>
        <v>12</v>
      </c>
      <c r="B33" s="449" t="s">
        <v>243</v>
      </c>
      <c r="C33" s="450">
        <f>-345751+764210</f>
        <v>418459</v>
      </c>
      <c r="D33" s="451">
        <v>0</v>
      </c>
      <c r="E33" s="451">
        <v>0</v>
      </c>
      <c r="F33" s="451">
        <v>0</v>
      </c>
      <c r="G33" s="451">
        <f>+C33</f>
        <v>418459</v>
      </c>
      <c r="H33" s="452"/>
      <c r="I33" s="453" t="s">
        <v>244</v>
      </c>
    </row>
    <row r="34" spans="1:9" ht="30.6" customHeight="1">
      <c r="A34" s="17">
        <f>+A33+1</f>
        <v>13</v>
      </c>
      <c r="B34" s="454" t="s">
        <v>245</v>
      </c>
      <c r="C34" s="455">
        <v>2995371</v>
      </c>
      <c r="D34" s="456">
        <f>+C34</f>
        <v>2995371</v>
      </c>
      <c r="E34" s="456">
        <v>0</v>
      </c>
      <c r="F34" s="456">
        <v>0</v>
      </c>
      <c r="G34" s="456">
        <v>0</v>
      </c>
      <c r="H34" s="457"/>
      <c r="I34" s="453" t="s">
        <v>246</v>
      </c>
    </row>
    <row r="35" spans="1:9" ht="32.450000000000003" customHeight="1">
      <c r="A35" s="17">
        <f t="shared" ref="A35:A46" si="2">+A34+1</f>
        <v>14</v>
      </c>
      <c r="B35" s="454" t="s">
        <v>247</v>
      </c>
      <c r="C35" s="455">
        <v>1208210</v>
      </c>
      <c r="D35" s="456">
        <v>0</v>
      </c>
      <c r="E35" s="456">
        <v>0</v>
      </c>
      <c r="F35" s="456">
        <v>0</v>
      </c>
      <c r="G35" s="456">
        <f>+C35</f>
        <v>1208210</v>
      </c>
      <c r="H35" s="457"/>
      <c r="I35" s="453" t="s">
        <v>244</v>
      </c>
    </row>
    <row r="36" spans="1:9" ht="40.15" customHeight="1">
      <c r="A36" s="17">
        <f t="shared" si="2"/>
        <v>15</v>
      </c>
      <c r="B36" s="458" t="s">
        <v>248</v>
      </c>
      <c r="C36" s="455">
        <f>+-1010449</f>
        <v>-1010449</v>
      </c>
      <c r="D36" s="456">
        <v>0</v>
      </c>
      <c r="E36" s="456">
        <v>0</v>
      </c>
      <c r="F36" s="456">
        <f>+C36</f>
        <v>-1010449</v>
      </c>
      <c r="G36" s="456">
        <v>0</v>
      </c>
      <c r="H36" s="457"/>
      <c r="I36" s="459" t="s">
        <v>249</v>
      </c>
    </row>
    <row r="37" spans="1:9" ht="24.75" customHeight="1">
      <c r="A37" s="17">
        <f t="shared" si="2"/>
        <v>16</v>
      </c>
      <c r="B37" s="454" t="s">
        <v>250</v>
      </c>
      <c r="C37" s="455">
        <v>651061</v>
      </c>
      <c r="D37" s="456">
        <v>0</v>
      </c>
      <c r="E37" s="456">
        <v>0</v>
      </c>
      <c r="F37" s="456">
        <v>0</v>
      </c>
      <c r="G37" s="456">
        <f>+C37</f>
        <v>651061</v>
      </c>
      <c r="H37" s="457"/>
      <c r="I37" s="453" t="s">
        <v>251</v>
      </c>
    </row>
    <row r="38" spans="1:9" ht="37.9" customHeight="1">
      <c r="A38" s="17">
        <f t="shared" si="2"/>
        <v>17</v>
      </c>
      <c r="B38" s="454" t="s">
        <v>252</v>
      </c>
      <c r="C38" s="455">
        <f>937976</f>
        <v>937976</v>
      </c>
      <c r="D38" s="456">
        <f>+C38</f>
        <v>937976</v>
      </c>
      <c r="E38" s="456">
        <v>0</v>
      </c>
      <c r="F38" s="456">
        <v>0</v>
      </c>
      <c r="G38" s="456">
        <v>0</v>
      </c>
      <c r="H38" s="457"/>
      <c r="I38" s="453" t="s">
        <v>349</v>
      </c>
    </row>
    <row r="39" spans="1:9" ht="31.9" customHeight="1">
      <c r="A39" s="17">
        <f t="shared" si="2"/>
        <v>18</v>
      </c>
      <c r="B39" s="454" t="s">
        <v>254</v>
      </c>
      <c r="C39" s="455">
        <v>41260</v>
      </c>
      <c r="D39" s="456">
        <v>0</v>
      </c>
      <c r="E39" s="456">
        <v>0</v>
      </c>
      <c r="F39" s="456">
        <v>0</v>
      </c>
      <c r="G39" s="456">
        <f>+C39</f>
        <v>41260</v>
      </c>
      <c r="H39" s="457"/>
      <c r="I39" s="453" t="s">
        <v>255</v>
      </c>
    </row>
    <row r="40" spans="1:9" ht="37.15" customHeight="1">
      <c r="A40" s="17">
        <f t="shared" si="2"/>
        <v>19</v>
      </c>
      <c r="B40" s="454" t="s">
        <v>256</v>
      </c>
      <c r="C40" s="455">
        <v>899799</v>
      </c>
      <c r="D40" s="456">
        <f>+C40</f>
        <v>899799</v>
      </c>
      <c r="E40" s="456">
        <v>0</v>
      </c>
      <c r="F40" s="456">
        <v>0</v>
      </c>
      <c r="G40" s="456">
        <v>0</v>
      </c>
      <c r="H40" s="457"/>
      <c r="I40" s="453" t="s">
        <v>257</v>
      </c>
    </row>
    <row r="41" spans="1:9" ht="24.6" customHeight="1">
      <c r="A41" s="17">
        <f t="shared" si="2"/>
        <v>20</v>
      </c>
      <c r="B41" s="454" t="s">
        <v>258</v>
      </c>
      <c r="C41" s="455">
        <v>431994</v>
      </c>
      <c r="D41" s="456">
        <v>0</v>
      </c>
      <c r="E41" s="456">
        <v>0</v>
      </c>
      <c r="F41" s="456">
        <f>+C41</f>
        <v>431994</v>
      </c>
      <c r="G41" s="456">
        <v>0</v>
      </c>
      <c r="H41" s="457"/>
      <c r="I41" s="453" t="s">
        <v>939</v>
      </c>
    </row>
    <row r="42" spans="1:9" ht="24.6" customHeight="1">
      <c r="A42" s="17">
        <f t="shared" si="2"/>
        <v>21</v>
      </c>
      <c r="B42" s="454" t="s">
        <v>259</v>
      </c>
      <c r="C42" s="455">
        <f>37017+1288335</f>
        <v>1325352</v>
      </c>
      <c r="D42" s="456">
        <f>+C42</f>
        <v>1325352</v>
      </c>
      <c r="E42" s="456">
        <v>0</v>
      </c>
      <c r="F42" s="456">
        <v>0</v>
      </c>
      <c r="G42" s="456">
        <v>0</v>
      </c>
      <c r="H42" s="457"/>
      <c r="I42" s="453" t="s">
        <v>260</v>
      </c>
    </row>
    <row r="43" spans="1:9" ht="39.6" customHeight="1">
      <c r="A43" s="17">
        <f t="shared" si="2"/>
        <v>22</v>
      </c>
      <c r="B43" s="454" t="s">
        <v>261</v>
      </c>
      <c r="C43" s="455">
        <f>+-223999</f>
        <v>-223999</v>
      </c>
      <c r="D43" s="456">
        <f>+C43</f>
        <v>-223999</v>
      </c>
      <c r="E43" s="456">
        <v>0</v>
      </c>
      <c r="F43" s="456">
        <v>0</v>
      </c>
      <c r="G43" s="456">
        <v>0</v>
      </c>
      <c r="H43" s="457"/>
      <c r="I43" s="453" t="s">
        <v>260</v>
      </c>
    </row>
    <row r="44" spans="1:9" ht="27" customHeight="1">
      <c r="A44" s="17">
        <f>+A43+1</f>
        <v>23</v>
      </c>
      <c r="B44" s="454" t="s">
        <v>262</v>
      </c>
      <c r="C44" s="455">
        <f>+-323286-104146+3264+-20258+7113</f>
        <v>-437313</v>
      </c>
      <c r="D44" s="456">
        <f>+C44</f>
        <v>-437313</v>
      </c>
      <c r="E44" s="456">
        <v>0</v>
      </c>
      <c r="F44" s="456">
        <v>0</v>
      </c>
      <c r="G44" s="456">
        <v>0</v>
      </c>
      <c r="H44" s="457"/>
      <c r="I44" s="460" t="s">
        <v>263</v>
      </c>
    </row>
    <row r="45" spans="1:9" ht="15">
      <c r="A45" s="17">
        <f t="shared" si="2"/>
        <v>24</v>
      </c>
      <c r="B45" s="461" t="s">
        <v>264</v>
      </c>
      <c r="C45" s="462">
        <f t="shared" ref="C45:G45" si="3">SUM(C33:C44)</f>
        <v>7237721</v>
      </c>
      <c r="D45" s="462">
        <f t="shared" si="3"/>
        <v>5497186</v>
      </c>
      <c r="E45" s="462">
        <f t="shared" si="3"/>
        <v>0</v>
      </c>
      <c r="F45" s="462">
        <f t="shared" si="3"/>
        <v>-578455</v>
      </c>
      <c r="G45" s="462">
        <f t="shared" si="3"/>
        <v>2318990</v>
      </c>
      <c r="H45" s="462"/>
      <c r="I45" s="463"/>
    </row>
    <row r="46" spans="1:9" ht="30">
      <c r="A46" s="17">
        <f t="shared" si="2"/>
        <v>25</v>
      </c>
      <c r="B46" s="464" t="s">
        <v>265</v>
      </c>
      <c r="C46" s="465">
        <f>SUM(D46:H46)</f>
        <v>-1010449</v>
      </c>
      <c r="D46" s="465">
        <f>D36</f>
        <v>0</v>
      </c>
      <c r="E46" s="466">
        <f>+E36</f>
        <v>0</v>
      </c>
      <c r="F46" s="467">
        <f>F36</f>
        <v>-1010449</v>
      </c>
      <c r="G46" s="467">
        <f>+G36</f>
        <v>0</v>
      </c>
      <c r="H46" s="467"/>
      <c r="I46" s="468" t="str">
        <f>+'1A - ADIT'!I44</f>
        <v>All FAS 109 items excluded from formula rate</v>
      </c>
    </row>
    <row r="47" spans="1:9" ht="15.75" thickBot="1">
      <c r="A47" s="17">
        <f>+A46+1</f>
        <v>26</v>
      </c>
      <c r="B47" s="469" t="s">
        <v>64</v>
      </c>
      <c r="C47" s="470">
        <f>+C45-C46</f>
        <v>8248170</v>
      </c>
      <c r="D47" s="470">
        <f t="shared" ref="D47:G47" si="4">+D45-D46</f>
        <v>5497186</v>
      </c>
      <c r="E47" s="470">
        <f t="shared" si="4"/>
        <v>0</v>
      </c>
      <c r="F47" s="470">
        <f t="shared" si="4"/>
        <v>431994</v>
      </c>
      <c r="G47" s="470">
        <f t="shared" si="4"/>
        <v>2318990</v>
      </c>
      <c r="H47" s="470"/>
      <c r="I47" s="471"/>
    </row>
    <row r="48" spans="1:9" ht="15">
      <c r="A48" s="17"/>
      <c r="B48" s="45"/>
      <c r="C48" s="472"/>
      <c r="D48" s="473"/>
      <c r="E48" s="473"/>
      <c r="F48" s="473"/>
      <c r="G48" s="473"/>
      <c r="H48" s="473"/>
      <c r="I48" s="63"/>
    </row>
    <row r="49" spans="2:9">
      <c r="B49" s="6" t="s">
        <v>267</v>
      </c>
      <c r="D49" s="444"/>
      <c r="E49" s="474"/>
      <c r="F49" s="17"/>
      <c r="I49" s="475"/>
    </row>
    <row r="50" spans="2:9">
      <c r="B50" s="709" t="s">
        <v>350</v>
      </c>
      <c r="C50" s="709"/>
      <c r="D50" s="709"/>
      <c r="E50" s="709"/>
      <c r="F50" s="709"/>
      <c r="G50" s="709"/>
      <c r="H50" s="709"/>
      <c r="I50" s="709"/>
    </row>
    <row r="51" spans="2:9">
      <c r="B51" s="10" t="s">
        <v>269</v>
      </c>
      <c r="G51" s="17"/>
      <c r="H51" s="17"/>
      <c r="I51" s="17"/>
    </row>
    <row r="52" spans="2:9">
      <c r="B52" s="10" t="s">
        <v>280</v>
      </c>
      <c r="G52" s="17"/>
      <c r="H52" s="17"/>
      <c r="I52" s="17"/>
    </row>
    <row r="53" spans="2:9">
      <c r="B53" s="10" t="s">
        <v>351</v>
      </c>
      <c r="G53" s="17"/>
      <c r="H53" s="17"/>
      <c r="I53" s="17"/>
    </row>
    <row r="54" spans="2:9" ht="15" customHeight="1">
      <c r="B54" s="709" t="s">
        <v>272</v>
      </c>
      <c r="C54" s="709"/>
      <c r="D54" s="709"/>
      <c r="E54" s="709"/>
      <c r="F54" s="709"/>
      <c r="G54" s="709"/>
      <c r="H54" s="709"/>
      <c r="I54" s="709"/>
    </row>
    <row r="55" spans="2:9">
      <c r="B55" s="10" t="s">
        <v>273</v>
      </c>
      <c r="C55" s="17"/>
      <c r="D55" s="476"/>
      <c r="E55" s="17"/>
      <c r="F55" s="17"/>
      <c r="G55" s="17"/>
      <c r="H55" s="17"/>
      <c r="I55" s="61"/>
    </row>
    <row r="56" spans="2:9" ht="15">
      <c r="B56" s="63"/>
      <c r="C56" s="63"/>
      <c r="D56" s="63"/>
      <c r="E56" s="63"/>
      <c r="F56" s="63"/>
      <c r="G56" s="63"/>
      <c r="H56" s="63"/>
      <c r="I56" s="63"/>
    </row>
    <row r="57" spans="2:9" ht="15">
      <c r="B57" s="708" t="str">
        <f>+B3</f>
        <v>Dayton Power and Light</v>
      </c>
      <c r="C57" s="710"/>
      <c r="D57" s="710"/>
      <c r="E57" s="710"/>
      <c r="F57" s="710"/>
      <c r="G57" s="710"/>
      <c r="H57" s="710"/>
      <c r="I57" s="710"/>
    </row>
    <row r="58" spans="2:9" ht="15">
      <c r="B58" s="708" t="str">
        <f>+B4</f>
        <v xml:space="preserve">ATTACHMENT H-15A </v>
      </c>
      <c r="C58" s="708"/>
      <c r="D58" s="708"/>
      <c r="E58" s="708"/>
      <c r="F58" s="708"/>
      <c r="G58" s="708"/>
      <c r="H58" s="708"/>
      <c r="I58" s="708"/>
    </row>
    <row r="59" spans="2:9" ht="15">
      <c r="B59" s="708" t="str">
        <f>+B5</f>
        <v>Attachment 1D - Accumulated Deferred Income Taxes for Annual True-up - December 31, 2020</v>
      </c>
      <c r="C59" s="708"/>
      <c r="D59" s="708"/>
      <c r="E59" s="708"/>
      <c r="F59" s="708"/>
      <c r="G59" s="708"/>
      <c r="H59" s="708"/>
      <c r="I59" s="708"/>
    </row>
    <row r="60" spans="2:9">
      <c r="B60" s="441"/>
      <c r="I60" s="24"/>
    </row>
    <row r="61" spans="2:9" ht="15">
      <c r="B61" s="11" t="s">
        <v>194</v>
      </c>
      <c r="C61" s="11" t="s">
        <v>196</v>
      </c>
      <c r="D61" s="11" t="s">
        <v>197</v>
      </c>
      <c r="E61" s="11" t="s">
        <v>198</v>
      </c>
      <c r="F61" s="11" t="s">
        <v>200</v>
      </c>
      <c r="G61" s="11" t="s">
        <v>202</v>
      </c>
      <c r="H61" s="11"/>
      <c r="I61" s="442"/>
    </row>
    <row r="62" spans="2:9">
      <c r="C62" s="441" t="s">
        <v>274</v>
      </c>
      <c r="D62" s="441"/>
      <c r="E62" s="441"/>
      <c r="F62" s="441"/>
      <c r="G62" s="441"/>
      <c r="H62" s="441"/>
      <c r="I62" s="442"/>
    </row>
    <row r="63" spans="2:9" ht="15">
      <c r="B63" s="446" t="s">
        <v>972</v>
      </c>
      <c r="C63" s="441"/>
      <c r="D63" s="441"/>
      <c r="E63" s="441" t="s">
        <v>224</v>
      </c>
      <c r="F63" s="441" t="s">
        <v>225</v>
      </c>
      <c r="G63" s="441" t="s">
        <v>226</v>
      </c>
      <c r="H63" s="441"/>
      <c r="I63" s="11" t="s">
        <v>204</v>
      </c>
    </row>
    <row r="64" spans="2:9" ht="15" thickBot="1">
      <c r="B64" s="10"/>
      <c r="C64" s="441"/>
      <c r="D64" s="441" t="s">
        <v>241</v>
      </c>
      <c r="E64" s="441" t="s">
        <v>228</v>
      </c>
      <c r="F64" s="441" t="s">
        <v>228</v>
      </c>
      <c r="G64" s="441" t="s">
        <v>228</v>
      </c>
      <c r="H64" s="448"/>
      <c r="I64" s="441" t="s">
        <v>242</v>
      </c>
    </row>
    <row r="65" spans="1:9" ht="28.5">
      <c r="A65" s="6">
        <f>+A47+1</f>
        <v>27</v>
      </c>
      <c r="B65" s="449" t="s">
        <v>276</v>
      </c>
      <c r="C65" s="477"/>
      <c r="D65" s="477">
        <v>0</v>
      </c>
      <c r="E65" s="478">
        <v>0</v>
      </c>
      <c r="F65" s="478">
        <v>0</v>
      </c>
      <c r="G65" s="478">
        <v>0</v>
      </c>
      <c r="H65" s="479"/>
      <c r="I65" s="480" t="str">
        <f>+'1C - ADIT Prior Year'!I59</f>
        <v>Tax and book differences resulting from accelerated tax depreciation.  Included in prorated amount</v>
      </c>
    </row>
    <row r="66" spans="1:9" ht="28.5">
      <c r="A66" s="6">
        <f>+A65+1</f>
        <v>28</v>
      </c>
      <c r="B66" s="454" t="s">
        <v>783</v>
      </c>
      <c r="C66" s="456">
        <v>-3069860</v>
      </c>
      <c r="D66" s="481">
        <v>-73829</v>
      </c>
      <c r="E66" s="481">
        <f>+C66-D66</f>
        <v>-2996031</v>
      </c>
      <c r="F66" s="481">
        <v>0</v>
      </c>
      <c r="G66" s="481">
        <v>0</v>
      </c>
      <c r="H66" s="457"/>
      <c r="I66" s="482" t="s">
        <v>277</v>
      </c>
    </row>
    <row r="67" spans="1:9" ht="15.75" thickBot="1">
      <c r="A67" s="6">
        <f>+A66+1</f>
        <v>29</v>
      </c>
      <c r="B67" s="469" t="s">
        <v>64</v>
      </c>
      <c r="C67" s="470">
        <f>+SUM(C65:C66)</f>
        <v>-3069860</v>
      </c>
      <c r="D67" s="470">
        <f t="shared" ref="D67:G67" si="5">+SUM(D65:D66)</f>
        <v>-73829</v>
      </c>
      <c r="E67" s="470">
        <f t="shared" si="5"/>
        <v>-2996031</v>
      </c>
      <c r="F67" s="470">
        <f t="shared" si="5"/>
        <v>0</v>
      </c>
      <c r="G67" s="470">
        <f t="shared" si="5"/>
        <v>0</v>
      </c>
      <c r="H67" s="470"/>
      <c r="I67" s="471"/>
    </row>
    <row r="68" spans="1:9">
      <c r="B68" s="6" t="s">
        <v>278</v>
      </c>
      <c r="E68" s="17"/>
      <c r="F68" s="474"/>
      <c r="I68" s="61"/>
    </row>
    <row r="69" spans="1:9">
      <c r="B69" s="10" t="s">
        <v>279</v>
      </c>
      <c r="G69" s="17"/>
      <c r="H69" s="17"/>
      <c r="I69" s="17"/>
    </row>
    <row r="70" spans="1:9">
      <c r="B70" s="10" t="s">
        <v>269</v>
      </c>
      <c r="G70" s="17"/>
      <c r="H70" s="17"/>
      <c r="I70" s="17"/>
    </row>
    <row r="71" spans="1:9">
      <c r="B71" s="10" t="s">
        <v>280</v>
      </c>
      <c r="G71" s="17"/>
      <c r="H71" s="17"/>
      <c r="I71" s="17"/>
    </row>
    <row r="72" spans="1:9">
      <c r="B72" s="10" t="s">
        <v>281</v>
      </c>
      <c r="G72" s="17"/>
      <c r="H72" s="17"/>
      <c r="I72" s="17"/>
    </row>
    <row r="73" spans="1:9">
      <c r="B73" s="709" t="s">
        <v>272</v>
      </c>
      <c r="C73" s="709"/>
      <c r="D73" s="709"/>
      <c r="E73" s="709"/>
      <c r="F73" s="709"/>
      <c r="G73" s="709"/>
      <c r="H73" s="709"/>
      <c r="I73" s="709"/>
    </row>
    <row r="74" spans="1:9">
      <c r="B74" s="10" t="s">
        <v>273</v>
      </c>
      <c r="C74" s="17"/>
      <c r="D74" s="476"/>
      <c r="E74" s="17"/>
      <c r="F74" s="17"/>
      <c r="G74" s="17"/>
      <c r="H74" s="17"/>
      <c r="I74" s="61"/>
    </row>
    <row r="75" spans="1:9" ht="15">
      <c r="B75" s="483"/>
      <c r="F75" s="17"/>
      <c r="G75" s="17"/>
      <c r="H75" s="17"/>
      <c r="I75" s="61"/>
    </row>
    <row r="76" spans="1:9">
      <c r="B76" s="10"/>
      <c r="F76" s="17"/>
      <c r="G76" s="17"/>
      <c r="H76" s="17"/>
      <c r="I76" s="61"/>
    </row>
    <row r="77" spans="1:9" ht="15">
      <c r="B77" s="11"/>
    </row>
    <row r="78" spans="1:9" ht="15">
      <c r="B78" s="484" t="str">
        <f>B3</f>
        <v>Dayton Power and Light</v>
      </c>
      <c r="C78" s="26"/>
      <c r="D78" s="26"/>
      <c r="E78" s="26"/>
      <c r="F78" s="26"/>
      <c r="G78" s="26"/>
      <c r="H78" s="26"/>
      <c r="I78" s="26"/>
    </row>
    <row r="79" spans="1:9" ht="15">
      <c r="B79" s="708" t="str">
        <f>+'Appendix A'!A4</f>
        <v xml:space="preserve">ATTACHMENT H-15A </v>
      </c>
      <c r="C79" s="708"/>
      <c r="D79" s="708"/>
      <c r="E79" s="708"/>
      <c r="F79" s="708"/>
      <c r="G79" s="708"/>
      <c r="H79" s="708"/>
      <c r="I79" s="708"/>
    </row>
    <row r="80" spans="1:9" ht="15">
      <c r="B80" s="708" t="str">
        <f>+B5</f>
        <v>Attachment 1D - Accumulated Deferred Income Taxes for Annual True-up - December 31, 2020</v>
      </c>
      <c r="C80" s="708"/>
      <c r="D80" s="708"/>
      <c r="E80" s="708"/>
      <c r="F80" s="708"/>
      <c r="G80" s="708"/>
      <c r="H80" s="708"/>
      <c r="I80" s="708"/>
    </row>
    <row r="81" spans="1:9">
      <c r="B81" s="10"/>
      <c r="G81" s="446"/>
      <c r="H81" s="446"/>
      <c r="I81" s="61"/>
    </row>
    <row r="82" spans="1:9" ht="15">
      <c r="B82" s="10"/>
      <c r="G82" s="446"/>
      <c r="H82" s="446"/>
      <c r="I82" s="485"/>
    </row>
    <row r="83" spans="1:9">
      <c r="B83" s="10"/>
      <c r="G83" s="446"/>
      <c r="H83" s="446"/>
      <c r="I83" s="61"/>
    </row>
    <row r="84" spans="1:9" ht="15">
      <c r="B84" s="11" t="s">
        <v>194</v>
      </c>
      <c r="C84" s="11" t="s">
        <v>196</v>
      </c>
      <c r="D84" s="11" t="s">
        <v>197</v>
      </c>
      <c r="E84" s="11" t="s">
        <v>198</v>
      </c>
      <c r="F84" s="11" t="s">
        <v>200</v>
      </c>
      <c r="G84" s="11" t="s">
        <v>202</v>
      </c>
      <c r="H84" s="11"/>
      <c r="I84" s="11" t="s">
        <v>204</v>
      </c>
    </row>
    <row r="85" spans="1:9" ht="30">
      <c r="B85" s="446" t="s">
        <v>973</v>
      </c>
      <c r="C85" s="441" t="s">
        <v>64</v>
      </c>
      <c r="D85" s="486" t="s">
        <v>241</v>
      </c>
      <c r="E85" s="486" t="s">
        <v>357</v>
      </c>
      <c r="F85" s="486" t="s">
        <v>225</v>
      </c>
      <c r="G85" s="486" t="s">
        <v>226</v>
      </c>
      <c r="H85" s="441"/>
      <c r="I85" s="441" t="s">
        <v>242</v>
      </c>
    </row>
    <row r="86" spans="1:9" ht="15" thickBot="1">
      <c r="B86" s="10"/>
      <c r="C86" s="441"/>
      <c r="D86" s="441"/>
      <c r="E86" s="441"/>
      <c r="F86" s="441"/>
      <c r="G86" s="441"/>
      <c r="H86" s="448"/>
    </row>
    <row r="87" spans="1:9">
      <c r="A87" s="17">
        <f>+A67+1</f>
        <v>30</v>
      </c>
      <c r="B87" s="449" t="s">
        <v>283</v>
      </c>
      <c r="C87" s="451">
        <v>-6274880</v>
      </c>
      <c r="D87" s="451">
        <v>0</v>
      </c>
      <c r="E87" s="451">
        <v>0</v>
      </c>
      <c r="F87" s="451">
        <v>0</v>
      </c>
      <c r="G87" s="451">
        <f>+C87</f>
        <v>-6274880</v>
      </c>
      <c r="H87" s="479"/>
      <c r="I87" s="487" t="s">
        <v>284</v>
      </c>
    </row>
    <row r="88" spans="1:9">
      <c r="A88" s="17">
        <f>+A87+1</f>
        <v>31</v>
      </c>
      <c r="B88" s="454" t="s">
        <v>285</v>
      </c>
      <c r="C88" s="456">
        <v>-1477655</v>
      </c>
      <c r="D88" s="456">
        <f>+C88</f>
        <v>-1477655</v>
      </c>
      <c r="E88" s="456">
        <v>0</v>
      </c>
      <c r="F88" s="456">
        <v>0</v>
      </c>
      <c r="G88" s="456">
        <v>0</v>
      </c>
      <c r="H88" s="457"/>
      <c r="I88" s="488" t="s">
        <v>286</v>
      </c>
    </row>
    <row r="89" spans="1:9">
      <c r="A89" s="17">
        <f t="shared" ref="A89:A97" si="6">+A88+1</f>
        <v>32</v>
      </c>
      <c r="B89" s="454" t="s">
        <v>287</v>
      </c>
      <c r="C89" s="456">
        <v>-19784694</v>
      </c>
      <c r="D89" s="456">
        <f>+C89</f>
        <v>-19784694</v>
      </c>
      <c r="E89" s="456">
        <v>0</v>
      </c>
      <c r="F89" s="456">
        <v>0</v>
      </c>
      <c r="G89" s="456">
        <v>0</v>
      </c>
      <c r="H89" s="457"/>
      <c r="I89" s="488" t="s">
        <v>943</v>
      </c>
    </row>
    <row r="90" spans="1:9" ht="28.5">
      <c r="A90" s="17">
        <f t="shared" si="6"/>
        <v>33</v>
      </c>
      <c r="B90" s="454" t="s">
        <v>288</v>
      </c>
      <c r="C90" s="456">
        <v>0</v>
      </c>
      <c r="D90" s="456">
        <v>0</v>
      </c>
      <c r="E90" s="456">
        <v>0</v>
      </c>
      <c r="F90" s="456">
        <v>0</v>
      </c>
      <c r="G90" s="456">
        <v>0</v>
      </c>
      <c r="H90" s="457"/>
      <c r="I90" s="488" t="s">
        <v>1020</v>
      </c>
    </row>
    <row r="91" spans="1:9">
      <c r="A91" s="17">
        <f t="shared" si="6"/>
        <v>34</v>
      </c>
      <c r="B91" s="454" t="s">
        <v>289</v>
      </c>
      <c r="C91" s="456">
        <v>14861511</v>
      </c>
      <c r="D91" s="456">
        <v>0</v>
      </c>
      <c r="E91" s="456">
        <v>0</v>
      </c>
      <c r="F91" s="456">
        <f>+C91</f>
        <v>14861511</v>
      </c>
      <c r="G91" s="456">
        <v>0</v>
      </c>
      <c r="H91" s="457"/>
      <c r="I91" s="489" t="s">
        <v>249</v>
      </c>
    </row>
    <row r="92" spans="1:9">
      <c r="A92" s="17">
        <f t="shared" si="6"/>
        <v>35</v>
      </c>
      <c r="B92" s="454" t="s">
        <v>290</v>
      </c>
      <c r="C92" s="456">
        <v>709536</v>
      </c>
      <c r="D92" s="456">
        <v>0</v>
      </c>
      <c r="E92" s="456">
        <v>0</v>
      </c>
      <c r="F92" s="456">
        <v>0</v>
      </c>
      <c r="G92" s="456">
        <f>+C92</f>
        <v>709536</v>
      </c>
      <c r="H92" s="457"/>
      <c r="I92" s="488" t="s">
        <v>291</v>
      </c>
    </row>
    <row r="93" spans="1:9" ht="29.25" thickBot="1">
      <c r="A93" s="17">
        <f t="shared" si="6"/>
        <v>36</v>
      </c>
      <c r="B93" s="454" t="s">
        <v>262</v>
      </c>
      <c r="C93" s="456">
        <f>+-21743562-912023</f>
        <v>-22655585</v>
      </c>
      <c r="D93" s="456">
        <f>+C93</f>
        <v>-22655585</v>
      </c>
      <c r="E93" s="456">
        <v>0</v>
      </c>
      <c r="F93" s="456">
        <v>0</v>
      </c>
      <c r="G93" s="456">
        <v>0</v>
      </c>
      <c r="H93" s="457"/>
      <c r="I93" s="488" t="s">
        <v>940</v>
      </c>
    </row>
    <row r="94" spans="1:9" ht="15">
      <c r="A94" s="17">
        <f t="shared" si="6"/>
        <v>37</v>
      </c>
      <c r="B94" s="490" t="s">
        <v>293</v>
      </c>
      <c r="C94" s="491">
        <f t="shared" ref="C94:G94" si="7">SUM(C87:C93)</f>
        <v>-34621767</v>
      </c>
      <c r="D94" s="491">
        <f>SUM(D87:D93)</f>
        <v>-43917934</v>
      </c>
      <c r="E94" s="491">
        <f t="shared" si="7"/>
        <v>0</v>
      </c>
      <c r="F94" s="491">
        <f>SUM(F87:F93)</f>
        <v>14861511</v>
      </c>
      <c r="G94" s="491">
        <f t="shared" si="7"/>
        <v>-5565344</v>
      </c>
      <c r="H94" s="491"/>
      <c r="I94" s="492"/>
    </row>
    <row r="95" spans="1:9" ht="30">
      <c r="A95" s="17">
        <f t="shared" si="6"/>
        <v>38</v>
      </c>
      <c r="B95" s="493" t="s">
        <v>294</v>
      </c>
      <c r="C95" s="465">
        <f>+C91</f>
        <v>14861511</v>
      </c>
      <c r="D95" s="465">
        <f t="shared" ref="D95:G95" si="8">+D91</f>
        <v>0</v>
      </c>
      <c r="E95" s="465">
        <f t="shared" si="8"/>
        <v>0</v>
      </c>
      <c r="F95" s="465">
        <f t="shared" si="8"/>
        <v>14861511</v>
      </c>
      <c r="G95" s="465">
        <f t="shared" si="8"/>
        <v>0</v>
      </c>
      <c r="H95" s="494"/>
      <c r="I95" s="468"/>
    </row>
    <row r="96" spans="1:9" ht="30">
      <c r="A96" s="17">
        <f t="shared" si="6"/>
        <v>39</v>
      </c>
      <c r="B96" s="495" t="s">
        <v>295</v>
      </c>
      <c r="C96" s="496">
        <f>+C88</f>
        <v>-1477655</v>
      </c>
      <c r="D96" s="496">
        <f>+D88</f>
        <v>-1477655</v>
      </c>
      <c r="E96" s="496">
        <f t="shared" ref="E96:G96" si="9">+E88</f>
        <v>0</v>
      </c>
      <c r="F96" s="496">
        <f t="shared" si="9"/>
        <v>0</v>
      </c>
      <c r="G96" s="496">
        <f t="shared" si="9"/>
        <v>0</v>
      </c>
      <c r="H96" s="497"/>
      <c r="I96" s="498" t="s">
        <v>358</v>
      </c>
    </row>
    <row r="97" spans="1:9" ht="15.75" thickBot="1">
      <c r="A97" s="17">
        <f t="shared" si="6"/>
        <v>40</v>
      </c>
      <c r="B97" s="469" t="s">
        <v>64</v>
      </c>
      <c r="C97" s="470">
        <f>+C94-C95-C96</f>
        <v>-48005623</v>
      </c>
      <c r="D97" s="470">
        <f t="shared" ref="D97:G97" si="10">+D94-D95-D96</f>
        <v>-42440279</v>
      </c>
      <c r="E97" s="470">
        <f t="shared" si="10"/>
        <v>0</v>
      </c>
      <c r="F97" s="470">
        <f>+F94-F95-F96</f>
        <v>0</v>
      </c>
      <c r="G97" s="470">
        <f t="shared" si="10"/>
        <v>-5565344</v>
      </c>
      <c r="H97" s="470"/>
      <c r="I97" s="471"/>
    </row>
    <row r="98" spans="1:9">
      <c r="B98" s="10"/>
      <c r="C98" s="444"/>
      <c r="D98" s="444"/>
      <c r="E98" s="444"/>
      <c r="F98" s="444"/>
      <c r="G98" s="444"/>
      <c r="H98" s="444"/>
      <c r="I98" s="61"/>
    </row>
    <row r="99" spans="1:9">
      <c r="B99" s="6" t="s">
        <v>297</v>
      </c>
      <c r="E99" s="17"/>
      <c r="F99" s="17"/>
      <c r="I99" s="499"/>
    </row>
    <row r="100" spans="1:9">
      <c r="B100" s="10" t="str">
        <f>+'1A - ADIT'!B95</f>
        <v>1.  ADIT items related only to Non-Electric Operations or Production are directly assigned to Column C</v>
      </c>
      <c r="G100" s="17"/>
      <c r="H100" s="17"/>
      <c r="I100" s="17"/>
    </row>
    <row r="101" spans="1:9">
      <c r="B101" s="10" t="s">
        <v>269</v>
      </c>
      <c r="G101" s="17"/>
      <c r="H101" s="17"/>
      <c r="I101" s="17"/>
    </row>
    <row r="102" spans="1:9">
      <c r="B102" s="10" t="s">
        <v>280</v>
      </c>
      <c r="G102" s="17"/>
      <c r="H102" s="17"/>
      <c r="I102" s="17"/>
    </row>
    <row r="103" spans="1:9">
      <c r="B103" s="10" t="s">
        <v>281</v>
      </c>
      <c r="G103" s="17"/>
      <c r="H103" s="17"/>
      <c r="I103" s="17"/>
    </row>
    <row r="104" spans="1:9">
      <c r="B104" s="709" t="s">
        <v>272</v>
      </c>
      <c r="C104" s="709"/>
      <c r="D104" s="709"/>
      <c r="E104" s="709"/>
      <c r="F104" s="709"/>
      <c r="G104" s="709"/>
      <c r="H104" s="709"/>
      <c r="I104" s="709"/>
    </row>
    <row r="105" spans="1:9">
      <c r="B105" s="10" t="s">
        <v>273</v>
      </c>
      <c r="C105" s="17"/>
      <c r="D105" s="476"/>
      <c r="E105" s="17"/>
      <c r="F105" s="17"/>
      <c r="G105" s="17"/>
      <c r="H105" s="17"/>
      <c r="I105" s="61"/>
    </row>
    <row r="106" spans="1:9" ht="15">
      <c r="B106" s="484"/>
      <c r="C106" s="26"/>
      <c r="D106" s="26"/>
      <c r="E106" s="26"/>
      <c r="F106" s="26"/>
      <c r="G106" s="26"/>
      <c r="H106" s="26"/>
      <c r="I106" s="26"/>
    </row>
    <row r="107" spans="1:9" ht="15">
      <c r="B107" s="708" t="s">
        <v>359</v>
      </c>
      <c r="C107" s="708"/>
      <c r="D107" s="708"/>
      <c r="E107" s="708"/>
      <c r="F107" s="708"/>
      <c r="G107" s="708"/>
      <c r="H107" s="708"/>
      <c r="I107" s="708"/>
    </row>
    <row r="108" spans="1:9">
      <c r="B108" s="6" t="s">
        <v>360</v>
      </c>
    </row>
    <row r="109" spans="1:9">
      <c r="B109" s="6" t="s">
        <v>361</v>
      </c>
    </row>
    <row r="110" spans="1:9">
      <c r="B110" s="6" t="s">
        <v>362</v>
      </c>
    </row>
    <row r="111" spans="1:9" ht="15">
      <c r="B111" s="6" t="s">
        <v>363</v>
      </c>
      <c r="D111" s="500"/>
      <c r="E111" s="500"/>
      <c r="F111" s="500"/>
      <c r="G111" s="500"/>
      <c r="H111" s="500"/>
      <c r="I111" s="500"/>
    </row>
    <row r="112" spans="1:9" ht="15">
      <c r="B112" s="6" t="s">
        <v>364</v>
      </c>
      <c r="D112" s="500"/>
      <c r="E112" s="500"/>
      <c r="F112" s="500"/>
      <c r="G112" s="500"/>
      <c r="H112" s="500"/>
      <c r="I112" s="500"/>
    </row>
    <row r="113" spans="2:5">
      <c r="B113" s="10"/>
      <c r="D113" s="17"/>
      <c r="E113" s="17"/>
    </row>
    <row r="114" spans="2:5">
      <c r="B114" s="10"/>
      <c r="D114" s="117"/>
      <c r="E114" s="117"/>
    </row>
    <row r="115" spans="2:5">
      <c r="B115" s="10"/>
      <c r="D115" s="117"/>
      <c r="E115" s="117"/>
    </row>
    <row r="116" spans="2:5">
      <c r="B116" s="10"/>
      <c r="D116" s="117"/>
      <c r="E116" s="117"/>
    </row>
    <row r="117" spans="2:5">
      <c r="B117" s="10"/>
      <c r="D117" s="117"/>
      <c r="E117" s="117"/>
    </row>
    <row r="118" spans="2:5">
      <c r="B118" s="10"/>
      <c r="D118" s="117"/>
      <c r="E118" s="117"/>
    </row>
    <row r="119" spans="2:5">
      <c r="B119" s="10"/>
      <c r="D119" s="117"/>
      <c r="E119" s="117"/>
    </row>
    <row r="120" spans="2:5">
      <c r="B120" s="10"/>
      <c r="D120" s="117"/>
      <c r="E120" s="117"/>
    </row>
  </sheetData>
  <mergeCells count="13">
    <mergeCell ref="B79:I79"/>
    <mergeCell ref="B80:I80"/>
    <mergeCell ref="B107:I107"/>
    <mergeCell ref="B3:I3"/>
    <mergeCell ref="B4:I4"/>
    <mergeCell ref="B5:I5"/>
    <mergeCell ref="B50:I50"/>
    <mergeCell ref="B54:I54"/>
    <mergeCell ref="B57:I57"/>
    <mergeCell ref="B58:I58"/>
    <mergeCell ref="B59:I59"/>
    <mergeCell ref="B73:I73"/>
    <mergeCell ref="B104:I104"/>
  </mergeCells>
  <phoneticPr fontId="79" type="noConversion"/>
  <pageMargins left="0.7" right="0.7" top="0.75" bottom="0.75" header="0.3" footer="0.3"/>
  <pageSetup scale="34" fitToHeight="2" orientation="landscape" r:id="rId1"/>
  <rowBreaks count="1" manualBreakCount="1">
    <brk id="56" max="16383"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Q52"/>
  <sheetViews>
    <sheetView topLeftCell="A3" zoomScale="85" zoomScaleNormal="85" workbookViewId="0">
      <selection activeCell="J29" sqref="J29"/>
    </sheetView>
  </sheetViews>
  <sheetFormatPr defaultColWidth="8.7109375" defaultRowHeight="14.25"/>
  <cols>
    <col min="1" max="1" width="6.28515625" style="6" customWidth="1"/>
    <col min="2" max="2" width="25.7109375" style="6" customWidth="1"/>
    <col min="3" max="3" width="13.28515625" style="6" customWidth="1"/>
    <col min="4" max="4" width="13.5703125" style="6" customWidth="1"/>
    <col min="5" max="5" width="15.28515625" style="6" customWidth="1"/>
    <col min="6" max="6" width="14.42578125" style="6" customWidth="1"/>
    <col min="7" max="7" width="13.42578125" style="6" customWidth="1"/>
    <col min="8" max="8" width="13.85546875" style="6" customWidth="1"/>
    <col min="9" max="9" width="15.28515625" style="6" customWidth="1"/>
    <col min="10" max="10" width="24.5703125" style="6" customWidth="1"/>
    <col min="11" max="11" width="4.7109375" style="6" customWidth="1"/>
    <col min="12" max="12" width="21.85546875" style="6" customWidth="1"/>
    <col min="13" max="13" width="16.7109375" style="6" customWidth="1"/>
    <col min="14" max="14" width="18.28515625" style="6" customWidth="1"/>
    <col min="15" max="15" width="19.7109375" style="6" customWidth="1"/>
    <col min="16" max="16" width="23.28515625" style="6" customWidth="1"/>
    <col min="17" max="17" width="26.28515625" style="6" customWidth="1"/>
    <col min="18" max="16384" width="8.7109375" style="6"/>
  </cols>
  <sheetData>
    <row r="2" spans="1:17" ht="15">
      <c r="I2" s="11" t="str">
        <f>+'Appendix A'!A3</f>
        <v>Dayton Power and Light</v>
      </c>
    </row>
    <row r="3" spans="1:17" ht="15">
      <c r="I3" s="11" t="str">
        <f>+'Appendix A'!A4</f>
        <v xml:space="preserve">ATTACHMENT H-15A </v>
      </c>
    </row>
    <row r="4" spans="1:17" ht="15">
      <c r="I4" s="44" t="s">
        <v>1003</v>
      </c>
      <c r="J4" s="44"/>
      <c r="K4" s="44"/>
      <c r="L4" s="44"/>
      <c r="M4" s="44"/>
      <c r="N4" s="44"/>
      <c r="O4" s="44"/>
    </row>
    <row r="5" spans="1:17" ht="15">
      <c r="I5" s="11" t="s">
        <v>365</v>
      </c>
      <c r="Q5" s="24"/>
    </row>
    <row r="7" spans="1:17">
      <c r="B7" s="6" t="s">
        <v>366</v>
      </c>
    </row>
    <row r="10" spans="1:17" ht="15">
      <c r="A10" s="407"/>
      <c r="B10" s="408" t="s">
        <v>386</v>
      </c>
      <c r="C10" s="407"/>
      <c r="D10" s="407"/>
      <c r="E10" s="407"/>
      <c r="F10" s="407"/>
      <c r="G10" s="407"/>
      <c r="H10" s="407"/>
      <c r="I10" s="407"/>
      <c r="J10" s="407"/>
      <c r="K10" s="407"/>
      <c r="L10" s="408"/>
      <c r="M10" s="407"/>
      <c r="N10" s="407"/>
      <c r="O10" s="407"/>
      <c r="P10" s="407"/>
      <c r="Q10" s="407"/>
    </row>
    <row r="11" spans="1:17" ht="15">
      <c r="A11" s="407"/>
      <c r="B11" s="714" t="s">
        <v>367</v>
      </c>
      <c r="C11" s="715"/>
      <c r="D11" s="715"/>
      <c r="E11" s="715"/>
      <c r="F11" s="716"/>
      <c r="G11" s="409"/>
      <c r="H11" s="717" t="s">
        <v>368</v>
      </c>
      <c r="I11" s="718"/>
      <c r="J11" s="719"/>
      <c r="K11" s="410"/>
      <c r="L11" s="720" t="s">
        <v>369</v>
      </c>
      <c r="M11" s="721"/>
      <c r="N11" s="721"/>
      <c r="O11" s="721"/>
      <c r="P11" s="721"/>
      <c r="Q11" s="721"/>
    </row>
    <row r="12" spans="1:17" ht="15">
      <c r="A12" s="407"/>
      <c r="B12" s="411" t="s">
        <v>194</v>
      </c>
      <c r="C12" s="411" t="s">
        <v>196</v>
      </c>
      <c r="D12" s="411" t="s">
        <v>197</v>
      </c>
      <c r="E12" s="411" t="s">
        <v>198</v>
      </c>
      <c r="F12" s="411" t="s">
        <v>200</v>
      </c>
      <c r="G12" s="409"/>
      <c r="H12" s="411" t="s">
        <v>202</v>
      </c>
      <c r="I12" s="411" t="s">
        <v>204</v>
      </c>
      <c r="J12" s="411" t="s">
        <v>205</v>
      </c>
      <c r="K12" s="412"/>
      <c r="L12" s="413" t="s">
        <v>206</v>
      </c>
      <c r="M12" s="413" t="s">
        <v>207</v>
      </c>
      <c r="N12" s="413" t="s">
        <v>208</v>
      </c>
      <c r="O12" s="413" t="s">
        <v>210</v>
      </c>
      <c r="P12" s="413" t="s">
        <v>212</v>
      </c>
      <c r="Q12" s="413" t="s">
        <v>214</v>
      </c>
    </row>
    <row r="13" spans="1:17" ht="128.25">
      <c r="A13" s="407"/>
      <c r="B13" s="414" t="s">
        <v>370</v>
      </c>
      <c r="C13" s="414" t="s">
        <v>319</v>
      </c>
      <c r="D13" s="414" t="s">
        <v>371</v>
      </c>
      <c r="E13" s="414" t="s">
        <v>372</v>
      </c>
      <c r="F13" s="414" t="s">
        <v>373</v>
      </c>
      <c r="G13" s="415"/>
      <c r="H13" s="414" t="s">
        <v>374</v>
      </c>
      <c r="I13" s="414" t="s">
        <v>375</v>
      </c>
      <c r="J13" s="414" t="s">
        <v>387</v>
      </c>
      <c r="K13" s="415"/>
      <c r="L13" s="416" t="s">
        <v>376</v>
      </c>
      <c r="M13" s="416" t="s">
        <v>377</v>
      </c>
      <c r="N13" s="416" t="s">
        <v>378</v>
      </c>
      <c r="O13" s="416" t="s">
        <v>379</v>
      </c>
      <c r="P13" s="416" t="s">
        <v>380</v>
      </c>
      <c r="Q13" s="416" t="s">
        <v>381</v>
      </c>
    </row>
    <row r="14" spans="1:17">
      <c r="A14" s="407"/>
      <c r="B14" s="407"/>
      <c r="C14" s="415"/>
      <c r="D14" s="415"/>
      <c r="E14" s="415"/>
      <c r="F14" s="415"/>
      <c r="G14" s="415"/>
      <c r="H14" s="415"/>
      <c r="I14" s="415"/>
      <c r="J14" s="415"/>
      <c r="K14" s="415"/>
      <c r="L14" s="417"/>
      <c r="M14" s="417"/>
      <c r="N14" s="417"/>
      <c r="O14" s="417"/>
      <c r="P14" s="417"/>
      <c r="Q14" s="417"/>
    </row>
    <row r="15" spans="1:17">
      <c r="A15" s="407">
        <v>1</v>
      </c>
      <c r="B15" s="418" t="s">
        <v>388</v>
      </c>
      <c r="C15" s="419"/>
      <c r="D15" s="420"/>
      <c r="E15" s="420"/>
      <c r="F15" s="420"/>
      <c r="G15" s="420"/>
      <c r="H15" s="421"/>
      <c r="I15" s="421"/>
      <c r="J15" s="422">
        <v>-23809436</v>
      </c>
      <c r="K15" s="423"/>
      <c r="L15" s="424" t="str">
        <f>+B15</f>
        <v>December 31st balance (FF1 274.2.b)</v>
      </c>
      <c r="M15" s="425"/>
      <c r="N15" s="425"/>
      <c r="O15" s="425"/>
      <c r="P15" s="425"/>
      <c r="Q15" s="426">
        <f>+J15</f>
        <v>-23809436</v>
      </c>
    </row>
    <row r="16" spans="1:17">
      <c r="A16" s="407">
        <f t="shared" ref="A16:A28" si="0">+A15+1</f>
        <v>2</v>
      </c>
      <c r="B16" s="419" t="s">
        <v>331</v>
      </c>
      <c r="C16" s="427">
        <v>31</v>
      </c>
      <c r="D16" s="420">
        <f t="shared" ref="D16:D26" si="1">D17+C17</f>
        <v>335</v>
      </c>
      <c r="E16" s="420">
        <f>SUM(C16:C27)</f>
        <v>365</v>
      </c>
      <c r="F16" s="101">
        <f>335/365</f>
        <v>0.9178082191780822</v>
      </c>
      <c r="G16" s="420"/>
      <c r="H16" s="422">
        <v>-1255371.6666666667</v>
      </c>
      <c r="I16" s="421">
        <f t="shared" ref="I16:I27" si="2">+H16*F16</f>
        <v>-1152190.4337899545</v>
      </c>
      <c r="J16" s="421">
        <f t="shared" ref="J16:J18" si="3">+I16+J15</f>
        <v>-24961626.433789954</v>
      </c>
      <c r="K16" s="423"/>
      <c r="L16" s="428">
        <f t="shared" ref="L16:L27" si="4">+N34</f>
        <v>-821580.72533913667</v>
      </c>
      <c r="M16" s="425">
        <f>L16-H16</f>
        <v>433790.94132753008</v>
      </c>
      <c r="N16" s="426">
        <f>IF(AND(H16&gt;=0,L16&gt;=0),IF(M16&gt;=0,I16,L16/H16*I16),IF(AND(H16&lt;0,L16&lt;0),IF(M16&lt;0,I16,L16/H16*I16),0))</f>
        <v>-754053.54243455012</v>
      </c>
      <c r="O16" s="426">
        <f t="shared" ref="O16:O27" si="5">IF(AND(H16&gt;=0,L16&gt;=0),IF(M16&gt;=0,M16,0),IF(AND(H16&lt;0,L16&lt;0),IF(M16&lt;0,M16,0),0))</f>
        <v>0</v>
      </c>
      <c r="P16" s="426">
        <f>IF(AND(H16&gt;=0,L16&lt;0),L16,IF(AND(H16&lt;0,L16&gt;=0),L16,0))</f>
        <v>0</v>
      </c>
      <c r="Q16" s="426">
        <f>Q15+N16+(O16+P16)*0.5</f>
        <v>-24563489.542434551</v>
      </c>
    </row>
    <row r="17" spans="1:17">
      <c r="A17" s="407">
        <f t="shared" si="0"/>
        <v>3</v>
      </c>
      <c r="B17" s="419" t="s">
        <v>332</v>
      </c>
      <c r="C17" s="429">
        <v>28</v>
      </c>
      <c r="D17" s="420">
        <f t="shared" si="1"/>
        <v>307</v>
      </c>
      <c r="E17" s="420">
        <f>E16</f>
        <v>365</v>
      </c>
      <c r="F17" s="101">
        <f>307/365</f>
        <v>0.84109589041095889</v>
      </c>
      <c r="G17" s="420"/>
      <c r="H17" s="422">
        <v>-1255371.6666666667</v>
      </c>
      <c r="I17" s="421">
        <f t="shared" si="2"/>
        <v>-1055887.9497716895</v>
      </c>
      <c r="J17" s="421">
        <f t="shared" si="3"/>
        <v>-26017514.383561645</v>
      </c>
      <c r="K17" s="423"/>
      <c r="L17" s="428">
        <f t="shared" si="4"/>
        <v>-821580.72533913667</v>
      </c>
      <c r="M17" s="425">
        <f>L17-H17</f>
        <v>433790.94132753008</v>
      </c>
      <c r="N17" s="426">
        <f t="shared" ref="N17:N27" si="6">IF(AND(H17&gt;=0,L17&gt;=0),IF(M17&gt;=0,I17,L17/H17*I17),IF(AND(H17&lt;0,L17&lt;0),IF(M17&lt;0,I17,L17/H17*I17),0))</f>
        <v>-691028.17172360257</v>
      </c>
      <c r="O17" s="426">
        <f t="shared" si="5"/>
        <v>0</v>
      </c>
      <c r="P17" s="426">
        <f t="shared" ref="P17:P27" si="7">IF(AND(H17&gt;=0,L17&lt;0),L17,IF(AND(H17&lt;0,L17&gt;=0),L17,0))</f>
        <v>0</v>
      </c>
      <c r="Q17" s="426">
        <f>Q16+N17+(O17+P17)*0.5</f>
        <v>-25254517.714158155</v>
      </c>
    </row>
    <row r="18" spans="1:17">
      <c r="A18" s="407">
        <f t="shared" si="0"/>
        <v>4</v>
      </c>
      <c r="B18" s="419" t="s">
        <v>333</v>
      </c>
      <c r="C18" s="427">
        <v>31</v>
      </c>
      <c r="D18" s="420">
        <f t="shared" si="1"/>
        <v>276</v>
      </c>
      <c r="E18" s="420">
        <f t="shared" ref="E18:E27" si="8">E17</f>
        <v>365</v>
      </c>
      <c r="F18" s="101">
        <f>276/365</f>
        <v>0.75616438356164384</v>
      </c>
      <c r="G18" s="420"/>
      <c r="H18" s="422">
        <v>-1255371.6666666667</v>
      </c>
      <c r="I18" s="421">
        <f t="shared" si="2"/>
        <v>-949267.34246575343</v>
      </c>
      <c r="J18" s="421">
        <f t="shared" si="3"/>
        <v>-26966781.726027399</v>
      </c>
      <c r="K18" s="423"/>
      <c r="L18" s="428">
        <f t="shared" si="4"/>
        <v>-821580.72533913667</v>
      </c>
      <c r="M18" s="425">
        <f t="shared" ref="M18:M27" si="9">L18-H18</f>
        <v>433790.94132753008</v>
      </c>
      <c r="N18" s="426">
        <f t="shared" si="6"/>
        <v>-621250.08272219647</v>
      </c>
      <c r="O18" s="426">
        <f t="shared" si="5"/>
        <v>0</v>
      </c>
      <c r="P18" s="426">
        <f t="shared" si="7"/>
        <v>0</v>
      </c>
      <c r="Q18" s="426">
        <f>Q17+N18+(O18+P18)*0.5</f>
        <v>-25875767.796880353</v>
      </c>
    </row>
    <row r="19" spans="1:17">
      <c r="A19" s="407">
        <f t="shared" si="0"/>
        <v>5</v>
      </c>
      <c r="B19" s="419" t="s">
        <v>334</v>
      </c>
      <c r="C19" s="427">
        <v>30</v>
      </c>
      <c r="D19" s="420">
        <f t="shared" si="1"/>
        <v>246</v>
      </c>
      <c r="E19" s="420">
        <f t="shared" si="8"/>
        <v>365</v>
      </c>
      <c r="F19" s="101">
        <f>246/365</f>
        <v>0.67397260273972603</v>
      </c>
      <c r="G19" s="420"/>
      <c r="H19" s="422">
        <v>-1255371.6666666667</v>
      </c>
      <c r="I19" s="421">
        <f t="shared" si="2"/>
        <v>-846086.10958904121</v>
      </c>
      <c r="J19" s="421">
        <f>+I19+J18</f>
        <v>-27812867.83561644</v>
      </c>
      <c r="K19" s="423"/>
      <c r="L19" s="428">
        <f t="shared" si="4"/>
        <v>-821580.72533913667</v>
      </c>
      <c r="M19" s="425">
        <f t="shared" si="9"/>
        <v>433790.94132753008</v>
      </c>
      <c r="N19" s="426">
        <f t="shared" si="6"/>
        <v>-553722.89981760993</v>
      </c>
      <c r="O19" s="426">
        <f t="shared" si="5"/>
        <v>0</v>
      </c>
      <c r="P19" s="426">
        <f t="shared" si="7"/>
        <v>0</v>
      </c>
      <c r="Q19" s="426">
        <f t="shared" ref="Q19:Q27" si="10">Q18+N19+(O19+P19)*0.5</f>
        <v>-26429490.696697962</v>
      </c>
    </row>
    <row r="20" spans="1:17">
      <c r="A20" s="407">
        <f t="shared" si="0"/>
        <v>6</v>
      </c>
      <c r="B20" s="419" t="s">
        <v>335</v>
      </c>
      <c r="C20" s="427">
        <v>31</v>
      </c>
      <c r="D20" s="420">
        <f t="shared" si="1"/>
        <v>215</v>
      </c>
      <c r="E20" s="420">
        <f t="shared" si="8"/>
        <v>365</v>
      </c>
      <c r="F20" s="101">
        <f>215/365</f>
        <v>0.58904109589041098</v>
      </c>
      <c r="G20" s="420"/>
      <c r="H20" s="422">
        <v>-1255371.6666666667</v>
      </c>
      <c r="I20" s="421">
        <f t="shared" si="2"/>
        <v>-739465.50228310504</v>
      </c>
      <c r="J20" s="421">
        <f t="shared" ref="J20:J27" si="11">+I20+J19</f>
        <v>-28552333.337899543</v>
      </c>
      <c r="K20" s="423"/>
      <c r="L20" s="428">
        <f t="shared" si="4"/>
        <v>-821580.72533913667</v>
      </c>
      <c r="M20" s="425">
        <f t="shared" si="9"/>
        <v>433790.94132753008</v>
      </c>
      <c r="N20" s="426">
        <f t="shared" si="6"/>
        <v>-483944.81081620377</v>
      </c>
      <c r="O20" s="426">
        <f t="shared" si="5"/>
        <v>0</v>
      </c>
      <c r="P20" s="426">
        <f t="shared" si="7"/>
        <v>0</v>
      </c>
      <c r="Q20" s="426">
        <f t="shared" si="10"/>
        <v>-26913435.507514164</v>
      </c>
    </row>
    <row r="21" spans="1:17">
      <c r="A21" s="407">
        <f t="shared" si="0"/>
        <v>7</v>
      </c>
      <c r="B21" s="419" t="s">
        <v>336</v>
      </c>
      <c r="C21" s="427">
        <v>30</v>
      </c>
      <c r="D21" s="420">
        <f t="shared" si="1"/>
        <v>185</v>
      </c>
      <c r="E21" s="420">
        <f t="shared" si="8"/>
        <v>365</v>
      </c>
      <c r="F21" s="101">
        <f>185/365</f>
        <v>0.50684931506849318</v>
      </c>
      <c r="G21" s="420"/>
      <c r="H21" s="422">
        <v>-1255371.6666666667</v>
      </c>
      <c r="I21" s="421">
        <f t="shared" si="2"/>
        <v>-636284.26940639282</v>
      </c>
      <c r="J21" s="421">
        <f t="shared" si="11"/>
        <v>-29188617.607305937</v>
      </c>
      <c r="K21" s="423"/>
      <c r="L21" s="428">
        <f t="shared" si="4"/>
        <v>-821580.72533913667</v>
      </c>
      <c r="M21" s="425">
        <f t="shared" si="9"/>
        <v>433790.94132753008</v>
      </c>
      <c r="N21" s="426">
        <f t="shared" si="6"/>
        <v>-416417.62791161728</v>
      </c>
      <c r="O21" s="426">
        <f t="shared" si="5"/>
        <v>0</v>
      </c>
      <c r="P21" s="426">
        <f t="shared" si="7"/>
        <v>0</v>
      </c>
      <c r="Q21" s="426">
        <f t="shared" si="10"/>
        <v>-27329853.13542578</v>
      </c>
    </row>
    <row r="22" spans="1:17">
      <c r="A22" s="407">
        <f t="shared" si="0"/>
        <v>8</v>
      </c>
      <c r="B22" s="419" t="s">
        <v>337</v>
      </c>
      <c r="C22" s="427">
        <v>31</v>
      </c>
      <c r="D22" s="420">
        <f t="shared" si="1"/>
        <v>154</v>
      </c>
      <c r="E22" s="420">
        <f t="shared" si="8"/>
        <v>365</v>
      </c>
      <c r="F22" s="101">
        <f>154/365</f>
        <v>0.42191780821917807</v>
      </c>
      <c r="G22" s="420"/>
      <c r="H22" s="422">
        <v>-1255371.6666666667</v>
      </c>
      <c r="I22" s="421">
        <f t="shared" si="2"/>
        <v>-529663.66210045666</v>
      </c>
      <c r="J22" s="421">
        <f t="shared" si="11"/>
        <v>-29718281.269406393</v>
      </c>
      <c r="K22" s="423"/>
      <c r="L22" s="428">
        <f t="shared" si="4"/>
        <v>-821580.72533913667</v>
      </c>
      <c r="M22" s="425">
        <f t="shared" si="9"/>
        <v>433790.94132753008</v>
      </c>
      <c r="N22" s="426">
        <f t="shared" si="6"/>
        <v>-346639.53891021106</v>
      </c>
      <c r="O22" s="426">
        <f t="shared" si="5"/>
        <v>0</v>
      </c>
      <c r="P22" s="426">
        <f t="shared" si="7"/>
        <v>0</v>
      </c>
      <c r="Q22" s="426">
        <f t="shared" si="10"/>
        <v>-27676492.67433599</v>
      </c>
    </row>
    <row r="23" spans="1:17">
      <c r="A23" s="407">
        <f t="shared" si="0"/>
        <v>9</v>
      </c>
      <c r="B23" s="419" t="s">
        <v>338</v>
      </c>
      <c r="C23" s="427">
        <v>31</v>
      </c>
      <c r="D23" s="420">
        <f t="shared" si="1"/>
        <v>123</v>
      </c>
      <c r="E23" s="420">
        <f t="shared" si="8"/>
        <v>365</v>
      </c>
      <c r="F23" s="101">
        <f>123/365</f>
        <v>0.33698630136986302</v>
      </c>
      <c r="G23" s="420"/>
      <c r="H23" s="422">
        <v>-1255371.6666666667</v>
      </c>
      <c r="I23" s="421">
        <f t="shared" si="2"/>
        <v>-423043.05479452061</v>
      </c>
      <c r="J23" s="421">
        <f t="shared" si="11"/>
        <v>-30141324.324200913</v>
      </c>
      <c r="K23" s="423"/>
      <c r="L23" s="428">
        <f t="shared" si="4"/>
        <v>-821580.72533913667</v>
      </c>
      <c r="M23" s="425">
        <f t="shared" si="9"/>
        <v>433790.94132753008</v>
      </c>
      <c r="N23" s="426">
        <f t="shared" si="6"/>
        <v>-276861.44990880496</v>
      </c>
      <c r="O23" s="426">
        <f t="shared" si="5"/>
        <v>0</v>
      </c>
      <c r="P23" s="426">
        <f t="shared" si="7"/>
        <v>0</v>
      </c>
      <c r="Q23" s="426">
        <f t="shared" si="10"/>
        <v>-27953354.124244794</v>
      </c>
    </row>
    <row r="24" spans="1:17">
      <c r="A24" s="407">
        <f t="shared" si="0"/>
        <v>10</v>
      </c>
      <c r="B24" s="419" t="s">
        <v>339</v>
      </c>
      <c r="C24" s="427">
        <v>30</v>
      </c>
      <c r="D24" s="420">
        <f t="shared" si="1"/>
        <v>93</v>
      </c>
      <c r="E24" s="420">
        <f t="shared" si="8"/>
        <v>365</v>
      </c>
      <c r="F24" s="101">
        <f>93/365</f>
        <v>0.25479452054794521</v>
      </c>
      <c r="G24" s="420"/>
      <c r="H24" s="422">
        <v>-1255371.6666666667</v>
      </c>
      <c r="I24" s="421">
        <f t="shared" si="2"/>
        <v>-319861.82191780827</v>
      </c>
      <c r="J24" s="421">
        <f t="shared" si="11"/>
        <v>-30461186.146118723</v>
      </c>
      <c r="K24" s="423"/>
      <c r="L24" s="428">
        <f t="shared" si="4"/>
        <v>-821580.72533913667</v>
      </c>
      <c r="M24" s="425">
        <f t="shared" si="9"/>
        <v>433790.94132753008</v>
      </c>
      <c r="N24" s="426">
        <f t="shared" si="6"/>
        <v>-209334.26700421839</v>
      </c>
      <c r="O24" s="426">
        <f t="shared" si="5"/>
        <v>0</v>
      </c>
      <c r="P24" s="426">
        <f t="shared" si="7"/>
        <v>0</v>
      </c>
      <c r="Q24" s="426">
        <f t="shared" si="10"/>
        <v>-28162688.391249012</v>
      </c>
    </row>
    <row r="25" spans="1:17">
      <c r="A25" s="407">
        <f t="shared" si="0"/>
        <v>11</v>
      </c>
      <c r="B25" s="419" t="s">
        <v>340</v>
      </c>
      <c r="C25" s="427">
        <v>31</v>
      </c>
      <c r="D25" s="420">
        <f t="shared" si="1"/>
        <v>62</v>
      </c>
      <c r="E25" s="420">
        <f t="shared" si="8"/>
        <v>365</v>
      </c>
      <c r="F25" s="101">
        <f>62/365</f>
        <v>0.16986301369863013</v>
      </c>
      <c r="G25" s="420"/>
      <c r="H25" s="422">
        <v>-1255371.6666666667</v>
      </c>
      <c r="I25" s="421">
        <f t="shared" si="2"/>
        <v>-213241.21461187216</v>
      </c>
      <c r="J25" s="421">
        <f t="shared" si="11"/>
        <v>-30674427.360730596</v>
      </c>
      <c r="K25" s="423"/>
      <c r="L25" s="428">
        <f t="shared" si="4"/>
        <v>-821580.72533913667</v>
      </c>
      <c r="M25" s="425">
        <f t="shared" si="9"/>
        <v>433790.94132753008</v>
      </c>
      <c r="N25" s="426">
        <f t="shared" si="6"/>
        <v>-139556.17800281226</v>
      </c>
      <c r="O25" s="426">
        <f t="shared" si="5"/>
        <v>0</v>
      </c>
      <c r="P25" s="426">
        <f t="shared" si="7"/>
        <v>0</v>
      </c>
      <c r="Q25" s="426">
        <f t="shared" si="10"/>
        <v>-28302244.569251824</v>
      </c>
    </row>
    <row r="26" spans="1:17">
      <c r="A26" s="407">
        <f t="shared" si="0"/>
        <v>12</v>
      </c>
      <c r="B26" s="419" t="s">
        <v>341</v>
      </c>
      <c r="C26" s="427">
        <v>30</v>
      </c>
      <c r="D26" s="420">
        <f t="shared" si="1"/>
        <v>32</v>
      </c>
      <c r="E26" s="420">
        <f t="shared" si="8"/>
        <v>365</v>
      </c>
      <c r="F26" s="101">
        <f>32/365</f>
        <v>8.7671232876712329E-2</v>
      </c>
      <c r="G26" s="420"/>
      <c r="H26" s="422">
        <v>-1255371.6666666667</v>
      </c>
      <c r="I26" s="421">
        <f t="shared" si="2"/>
        <v>-110059.98173515983</v>
      </c>
      <c r="J26" s="421">
        <f t="shared" si="11"/>
        <v>-30784487.342465755</v>
      </c>
      <c r="K26" s="423"/>
      <c r="L26" s="428">
        <f t="shared" si="4"/>
        <v>-821580.72533913667</v>
      </c>
      <c r="M26" s="425">
        <f t="shared" si="9"/>
        <v>433790.94132753008</v>
      </c>
      <c r="N26" s="426">
        <f t="shared" si="6"/>
        <v>-72028.995098225685</v>
      </c>
      <c r="O26" s="426">
        <f t="shared" si="5"/>
        <v>0</v>
      </c>
      <c r="P26" s="426">
        <f t="shared" si="7"/>
        <v>0</v>
      </c>
      <c r="Q26" s="426">
        <f t="shared" si="10"/>
        <v>-28374273.56435005</v>
      </c>
    </row>
    <row r="27" spans="1:17">
      <c r="A27" s="407">
        <f t="shared" si="0"/>
        <v>13</v>
      </c>
      <c r="B27" s="419" t="s">
        <v>342</v>
      </c>
      <c r="C27" s="427">
        <v>31</v>
      </c>
      <c r="D27" s="420">
        <v>1</v>
      </c>
      <c r="E27" s="420">
        <f t="shared" si="8"/>
        <v>365</v>
      </c>
      <c r="F27" s="101">
        <f>1/365</f>
        <v>2.7397260273972603E-3</v>
      </c>
      <c r="G27" s="420"/>
      <c r="H27" s="422">
        <v>-1255371.6666666667</v>
      </c>
      <c r="I27" s="421">
        <f t="shared" si="2"/>
        <v>-3439.3744292237448</v>
      </c>
      <c r="J27" s="421">
        <f t="shared" si="11"/>
        <v>-30787926.716894977</v>
      </c>
      <c r="K27" s="423"/>
      <c r="L27" s="428">
        <f t="shared" si="4"/>
        <v>-821580.72533913667</v>
      </c>
      <c r="M27" s="425">
        <f t="shared" si="9"/>
        <v>433790.94132753008</v>
      </c>
      <c r="N27" s="426">
        <f t="shared" si="6"/>
        <v>-2250.9060968195527</v>
      </c>
      <c r="O27" s="426">
        <f t="shared" si="5"/>
        <v>0</v>
      </c>
      <c r="P27" s="426">
        <f t="shared" si="7"/>
        <v>0</v>
      </c>
      <c r="Q27" s="426">
        <f t="shared" si="10"/>
        <v>-28376524.47044687</v>
      </c>
    </row>
    <row r="28" spans="1:17">
      <c r="A28" s="407">
        <f t="shared" si="0"/>
        <v>14</v>
      </c>
      <c r="B28" s="430" t="s">
        <v>64</v>
      </c>
      <c r="C28" s="431">
        <f>SUM(C16:C27)</f>
        <v>365</v>
      </c>
      <c r="D28" s="430"/>
      <c r="E28" s="430"/>
      <c r="F28" s="432"/>
      <c r="G28" s="420"/>
      <c r="H28" s="433">
        <f>SUM(H16:H27)</f>
        <v>-15064459.999999998</v>
      </c>
      <c r="I28" s="433">
        <f>SUM(I16:I27)</f>
        <v>-6978490.7168949777</v>
      </c>
      <c r="J28" s="434"/>
      <c r="K28" s="423"/>
      <c r="L28" s="433">
        <f>SUM(L16:L27)</f>
        <v>-9858968.7040696424</v>
      </c>
      <c r="M28" s="433">
        <f t="shared" ref="M28:P28" si="12">SUM(M16:M27)</f>
        <v>5205491.2959303604</v>
      </c>
      <c r="N28" s="435">
        <f t="shared" si="12"/>
        <v>-4567088.4704468716</v>
      </c>
      <c r="O28" s="435">
        <f t="shared" si="12"/>
        <v>0</v>
      </c>
      <c r="P28" s="435">
        <f t="shared" si="12"/>
        <v>0</v>
      </c>
      <c r="Q28" s="436"/>
    </row>
    <row r="29" spans="1:17">
      <c r="A29" s="407"/>
      <c r="B29" s="437"/>
      <c r="C29" s="437"/>
      <c r="D29" s="437"/>
      <c r="E29" s="437"/>
      <c r="F29" s="438"/>
      <c r="G29" s="438"/>
      <c r="H29" s="407"/>
      <c r="I29" s="439"/>
      <c r="J29" s="438" t="s">
        <v>1027</v>
      </c>
      <c r="K29" s="438"/>
      <c r="L29" s="702">
        <f>+J15+L28</f>
        <v>-33668404.704069644</v>
      </c>
      <c r="M29" s="407"/>
      <c r="N29" s="407"/>
      <c r="O29" s="407"/>
      <c r="P29" s="407"/>
      <c r="Q29" s="407"/>
    </row>
    <row r="30" spans="1:17" ht="16.899999999999999" customHeight="1"/>
    <row r="31" spans="1:17" ht="16.899999999999999" customHeight="1">
      <c r="F31" s="17" t="s">
        <v>16</v>
      </c>
      <c r="J31" s="17" t="s">
        <v>382</v>
      </c>
      <c r="O31" s="17"/>
    </row>
    <row r="32" spans="1:17" ht="16.899999999999999" customHeight="1">
      <c r="C32" s="29" t="s">
        <v>224</v>
      </c>
      <c r="D32" s="29"/>
      <c r="E32" s="29" t="s">
        <v>324</v>
      </c>
      <c r="F32" s="18" t="s">
        <v>383</v>
      </c>
      <c r="G32" s="18" t="s">
        <v>64</v>
      </c>
      <c r="H32" s="29"/>
      <c r="I32" s="29" t="s">
        <v>327</v>
      </c>
      <c r="J32" s="18" t="s">
        <v>383</v>
      </c>
      <c r="L32" s="18" t="s">
        <v>64</v>
      </c>
      <c r="N32" s="18" t="s">
        <v>384</v>
      </c>
      <c r="O32" s="18"/>
      <c r="P32" s="18"/>
    </row>
    <row r="33" spans="1:16" ht="16.899999999999999" customHeight="1">
      <c r="B33" s="6" t="s">
        <v>376</v>
      </c>
    </row>
    <row r="34" spans="1:16" ht="16.899999999999999" customHeight="1">
      <c r="A34" s="6">
        <f>+A28+1</f>
        <v>15</v>
      </c>
      <c r="B34" s="6" t="s">
        <v>331</v>
      </c>
      <c r="C34" s="84">
        <v>-847577</v>
      </c>
      <c r="D34" s="19"/>
      <c r="E34" s="84">
        <v>0</v>
      </c>
      <c r="F34" s="57">
        <f>+'Appendix A'!$H$27</f>
        <v>0.16033498951641173</v>
      </c>
      <c r="G34" s="19">
        <f t="shared" ref="G34:G45" si="13">+E34*F34</f>
        <v>0</v>
      </c>
      <c r="H34" s="19"/>
      <c r="I34" s="84">
        <v>163558.97666666665</v>
      </c>
      <c r="J34" s="57">
        <f>+'Appendix A'!$H$16</f>
        <v>0.15894128950099584</v>
      </c>
      <c r="L34" s="19">
        <f>+I34*J34</f>
        <v>25996.274660863288</v>
      </c>
      <c r="M34" s="19"/>
      <c r="N34" s="19">
        <f t="shared" ref="N34:N45" si="14">+C34+G34+L34+P34</f>
        <v>-821580.72533913667</v>
      </c>
      <c r="O34" s="440"/>
      <c r="P34" s="19"/>
    </row>
    <row r="35" spans="1:16" ht="16.899999999999999" customHeight="1">
      <c r="A35" s="6">
        <f>+A34+1</f>
        <v>16</v>
      </c>
      <c r="B35" s="6" t="s">
        <v>332</v>
      </c>
      <c r="C35" s="84">
        <v>-847577</v>
      </c>
      <c r="D35" s="19"/>
      <c r="E35" s="84">
        <v>0</v>
      </c>
      <c r="F35" s="57">
        <f>+'Appendix A'!$H$27</f>
        <v>0.16033498951641173</v>
      </c>
      <c r="G35" s="19">
        <f t="shared" si="13"/>
        <v>0</v>
      </c>
      <c r="H35" s="19"/>
      <c r="I35" s="84">
        <v>163558.97666666665</v>
      </c>
      <c r="J35" s="57">
        <f>+'Appendix A'!$H$16</f>
        <v>0.15894128950099584</v>
      </c>
      <c r="L35" s="19">
        <f t="shared" ref="L35:L45" si="15">+I35*J35</f>
        <v>25996.274660863288</v>
      </c>
      <c r="M35" s="19"/>
      <c r="N35" s="19">
        <f t="shared" si="14"/>
        <v>-821580.72533913667</v>
      </c>
      <c r="O35" s="440"/>
      <c r="P35" s="19"/>
    </row>
    <row r="36" spans="1:16" ht="16.899999999999999" customHeight="1">
      <c r="A36" s="6">
        <f t="shared" ref="A36:A45" si="16">+A35+1</f>
        <v>17</v>
      </c>
      <c r="B36" s="6" t="s">
        <v>333</v>
      </c>
      <c r="C36" s="84">
        <v>-847577</v>
      </c>
      <c r="D36" s="19"/>
      <c r="E36" s="84">
        <v>0</v>
      </c>
      <c r="F36" s="57">
        <f>+'Appendix A'!$H$27</f>
        <v>0.16033498951641173</v>
      </c>
      <c r="G36" s="19">
        <f t="shared" si="13"/>
        <v>0</v>
      </c>
      <c r="H36" s="19"/>
      <c r="I36" s="84">
        <v>163558.97666666665</v>
      </c>
      <c r="J36" s="57">
        <f>+'Appendix A'!$H$16</f>
        <v>0.15894128950099584</v>
      </c>
      <c r="L36" s="19">
        <f t="shared" si="15"/>
        <v>25996.274660863288</v>
      </c>
      <c r="M36" s="19"/>
      <c r="N36" s="19">
        <f t="shared" si="14"/>
        <v>-821580.72533913667</v>
      </c>
      <c r="O36" s="440"/>
      <c r="P36" s="19"/>
    </row>
    <row r="37" spans="1:16" ht="16.899999999999999" customHeight="1">
      <c r="A37" s="6">
        <f t="shared" si="16"/>
        <v>18</v>
      </c>
      <c r="B37" s="6" t="s">
        <v>334</v>
      </c>
      <c r="C37" s="84">
        <v>-847577</v>
      </c>
      <c r="D37" s="19"/>
      <c r="E37" s="84">
        <v>0</v>
      </c>
      <c r="F37" s="57">
        <f>+'Appendix A'!$H$27</f>
        <v>0.16033498951641173</v>
      </c>
      <c r="G37" s="19">
        <f t="shared" si="13"/>
        <v>0</v>
      </c>
      <c r="H37" s="19"/>
      <c r="I37" s="84">
        <v>163558.97666666665</v>
      </c>
      <c r="J37" s="57">
        <f>+'Appendix A'!$H$16</f>
        <v>0.15894128950099584</v>
      </c>
      <c r="L37" s="19">
        <f t="shared" si="15"/>
        <v>25996.274660863288</v>
      </c>
      <c r="M37" s="19"/>
      <c r="N37" s="19">
        <f t="shared" si="14"/>
        <v>-821580.72533913667</v>
      </c>
      <c r="O37" s="440"/>
      <c r="P37" s="19"/>
    </row>
    <row r="38" spans="1:16" ht="16.899999999999999" customHeight="1">
      <c r="A38" s="6">
        <f t="shared" si="16"/>
        <v>19</v>
      </c>
      <c r="B38" s="6" t="s">
        <v>335</v>
      </c>
      <c r="C38" s="84">
        <v>-847577</v>
      </c>
      <c r="D38" s="19"/>
      <c r="E38" s="84">
        <v>0</v>
      </c>
      <c r="F38" s="57">
        <f>+'Appendix A'!$H$27</f>
        <v>0.16033498951641173</v>
      </c>
      <c r="G38" s="19">
        <f t="shared" si="13"/>
        <v>0</v>
      </c>
      <c r="H38" s="19"/>
      <c r="I38" s="84">
        <v>163558.97666666665</v>
      </c>
      <c r="J38" s="57">
        <f>+'Appendix A'!$H$16</f>
        <v>0.15894128950099584</v>
      </c>
      <c r="L38" s="19">
        <f t="shared" si="15"/>
        <v>25996.274660863288</v>
      </c>
      <c r="M38" s="19"/>
      <c r="N38" s="19">
        <f t="shared" si="14"/>
        <v>-821580.72533913667</v>
      </c>
      <c r="O38" s="440"/>
      <c r="P38" s="19"/>
    </row>
    <row r="39" spans="1:16" ht="16.899999999999999" customHeight="1">
      <c r="A39" s="6">
        <f t="shared" si="16"/>
        <v>20</v>
      </c>
      <c r="B39" s="6" t="s">
        <v>336</v>
      </c>
      <c r="C39" s="84">
        <v>-847577</v>
      </c>
      <c r="D39" s="19"/>
      <c r="E39" s="84">
        <v>0</v>
      </c>
      <c r="F39" s="57">
        <f>+'Appendix A'!$H$27</f>
        <v>0.16033498951641173</v>
      </c>
      <c r="G39" s="19">
        <f t="shared" si="13"/>
        <v>0</v>
      </c>
      <c r="H39" s="19"/>
      <c r="I39" s="84">
        <v>163558.97666666665</v>
      </c>
      <c r="J39" s="57">
        <f>+'Appendix A'!$H$16</f>
        <v>0.15894128950099584</v>
      </c>
      <c r="L39" s="19">
        <f t="shared" si="15"/>
        <v>25996.274660863288</v>
      </c>
      <c r="M39" s="19"/>
      <c r="N39" s="19">
        <f t="shared" si="14"/>
        <v>-821580.72533913667</v>
      </c>
      <c r="O39" s="440"/>
      <c r="P39" s="19"/>
    </row>
    <row r="40" spans="1:16">
      <c r="A40" s="6">
        <f t="shared" si="16"/>
        <v>21</v>
      </c>
      <c r="B40" s="6" t="s">
        <v>337</v>
      </c>
      <c r="C40" s="84">
        <v>-847577</v>
      </c>
      <c r="D40" s="19"/>
      <c r="E40" s="84">
        <v>0</v>
      </c>
      <c r="F40" s="57">
        <f>+'Appendix A'!$H$27</f>
        <v>0.16033498951641173</v>
      </c>
      <c r="G40" s="19">
        <f t="shared" si="13"/>
        <v>0</v>
      </c>
      <c r="H40" s="19"/>
      <c r="I40" s="84">
        <v>163558.97666666665</v>
      </c>
      <c r="J40" s="57">
        <f>+'Appendix A'!$H$16</f>
        <v>0.15894128950099584</v>
      </c>
      <c r="L40" s="19">
        <f t="shared" si="15"/>
        <v>25996.274660863288</v>
      </c>
      <c r="M40" s="19"/>
      <c r="N40" s="19">
        <f t="shared" si="14"/>
        <v>-821580.72533913667</v>
      </c>
      <c r="O40" s="440"/>
      <c r="P40" s="19"/>
    </row>
    <row r="41" spans="1:16">
      <c r="A41" s="6">
        <f t="shared" si="16"/>
        <v>22</v>
      </c>
      <c r="B41" s="6" t="s">
        <v>338</v>
      </c>
      <c r="C41" s="84">
        <v>-847577</v>
      </c>
      <c r="D41" s="19"/>
      <c r="E41" s="84">
        <v>0</v>
      </c>
      <c r="F41" s="57">
        <f>+'Appendix A'!$H$27</f>
        <v>0.16033498951641173</v>
      </c>
      <c r="G41" s="19">
        <f t="shared" si="13"/>
        <v>0</v>
      </c>
      <c r="H41" s="19"/>
      <c r="I41" s="84">
        <v>163558.97666666665</v>
      </c>
      <c r="J41" s="57">
        <f>+'Appendix A'!$H$16</f>
        <v>0.15894128950099584</v>
      </c>
      <c r="L41" s="19">
        <f t="shared" si="15"/>
        <v>25996.274660863288</v>
      </c>
      <c r="M41" s="19"/>
      <c r="N41" s="19">
        <f t="shared" si="14"/>
        <v>-821580.72533913667</v>
      </c>
      <c r="O41" s="440"/>
      <c r="P41" s="19"/>
    </row>
    <row r="42" spans="1:16">
      <c r="A42" s="6">
        <f t="shared" si="16"/>
        <v>23</v>
      </c>
      <c r="B42" s="6" t="s">
        <v>339</v>
      </c>
      <c r="C42" s="84">
        <v>-847577</v>
      </c>
      <c r="D42" s="19"/>
      <c r="E42" s="84">
        <v>0</v>
      </c>
      <c r="F42" s="57">
        <f>+'Appendix A'!$H$27</f>
        <v>0.16033498951641173</v>
      </c>
      <c r="G42" s="19">
        <f t="shared" si="13"/>
        <v>0</v>
      </c>
      <c r="H42" s="19"/>
      <c r="I42" s="84">
        <v>163558.97666666665</v>
      </c>
      <c r="J42" s="57">
        <f>+'Appendix A'!$H$16</f>
        <v>0.15894128950099584</v>
      </c>
      <c r="L42" s="19">
        <f t="shared" si="15"/>
        <v>25996.274660863288</v>
      </c>
      <c r="M42" s="19"/>
      <c r="N42" s="19">
        <f t="shared" si="14"/>
        <v>-821580.72533913667</v>
      </c>
      <c r="O42" s="440"/>
      <c r="P42" s="19"/>
    </row>
    <row r="43" spans="1:16">
      <c r="A43" s="6">
        <f t="shared" si="16"/>
        <v>24</v>
      </c>
      <c r="B43" s="6" t="s">
        <v>340</v>
      </c>
      <c r="C43" s="84">
        <v>-847577</v>
      </c>
      <c r="D43" s="19"/>
      <c r="E43" s="84">
        <v>0</v>
      </c>
      <c r="F43" s="57">
        <f>+'Appendix A'!$H$27</f>
        <v>0.16033498951641173</v>
      </c>
      <c r="G43" s="19">
        <f t="shared" si="13"/>
        <v>0</v>
      </c>
      <c r="H43" s="19"/>
      <c r="I43" s="84">
        <v>163558.97666666665</v>
      </c>
      <c r="J43" s="57">
        <f>+'Appendix A'!$H$16</f>
        <v>0.15894128950099584</v>
      </c>
      <c r="L43" s="19">
        <f t="shared" si="15"/>
        <v>25996.274660863288</v>
      </c>
      <c r="M43" s="19"/>
      <c r="N43" s="19">
        <f t="shared" si="14"/>
        <v>-821580.72533913667</v>
      </c>
      <c r="O43" s="440"/>
      <c r="P43" s="19"/>
    </row>
    <row r="44" spans="1:16">
      <c r="A44" s="6">
        <f t="shared" si="16"/>
        <v>25</v>
      </c>
      <c r="B44" s="6" t="s">
        <v>341</v>
      </c>
      <c r="C44" s="84">
        <v>-847577</v>
      </c>
      <c r="D44" s="19"/>
      <c r="E44" s="84">
        <v>0</v>
      </c>
      <c r="F44" s="57">
        <f>+'Appendix A'!$H$27</f>
        <v>0.16033498951641173</v>
      </c>
      <c r="G44" s="19">
        <f t="shared" si="13"/>
        <v>0</v>
      </c>
      <c r="H44" s="19"/>
      <c r="I44" s="84">
        <v>163558.97666666665</v>
      </c>
      <c r="J44" s="57">
        <f>+'Appendix A'!$H$16</f>
        <v>0.15894128950099584</v>
      </c>
      <c r="L44" s="19">
        <f t="shared" si="15"/>
        <v>25996.274660863288</v>
      </c>
      <c r="M44" s="19"/>
      <c r="N44" s="19">
        <f t="shared" si="14"/>
        <v>-821580.72533913667</v>
      </c>
      <c r="O44" s="440"/>
      <c r="P44" s="19"/>
    </row>
    <row r="45" spans="1:16">
      <c r="A45" s="6">
        <f t="shared" si="16"/>
        <v>26</v>
      </c>
      <c r="B45" s="6" t="s">
        <v>342</v>
      </c>
      <c r="C45" s="84">
        <v>-847577</v>
      </c>
      <c r="D45" s="19"/>
      <c r="E45" s="84">
        <v>0</v>
      </c>
      <c r="F45" s="57">
        <f>+'Appendix A'!$H$27</f>
        <v>0.16033498951641173</v>
      </c>
      <c r="G45" s="19">
        <f t="shared" si="13"/>
        <v>0</v>
      </c>
      <c r="H45" s="19"/>
      <c r="I45" s="84">
        <v>163558.97666666665</v>
      </c>
      <c r="J45" s="57">
        <f>+'Appendix A'!$H$16</f>
        <v>0.15894128950099584</v>
      </c>
      <c r="L45" s="19">
        <f t="shared" si="15"/>
        <v>25996.274660863288</v>
      </c>
      <c r="M45" s="19"/>
      <c r="N45" s="19">
        <f t="shared" si="14"/>
        <v>-821580.72533913667</v>
      </c>
      <c r="O45" s="440"/>
      <c r="P45" s="19"/>
    </row>
    <row r="48" spans="1:16">
      <c r="B48" s="6" t="s">
        <v>385</v>
      </c>
    </row>
    <row r="49" spans="2:2">
      <c r="B49" s="6" t="s">
        <v>361</v>
      </c>
    </row>
    <row r="50" spans="2:2">
      <c r="B50" s="6" t="s">
        <v>362</v>
      </c>
    </row>
    <row r="51" spans="2:2">
      <c r="B51" s="6" t="s">
        <v>363</v>
      </c>
    </row>
    <row r="52" spans="2:2">
      <c r="B52" s="6" t="s">
        <v>364</v>
      </c>
    </row>
  </sheetData>
  <mergeCells count="3">
    <mergeCell ref="B11:F11"/>
    <mergeCell ref="H11:J11"/>
    <mergeCell ref="L11:Q11"/>
  </mergeCells>
  <pageMargins left="0.7" right="0.7" top="0.75" bottom="0.75" header="0.3" footer="0.3"/>
  <pageSetup scale="43" fitToHeight="3"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2:M61"/>
  <sheetViews>
    <sheetView showGridLines="0" zoomScaleNormal="100" workbookViewId="0">
      <selection activeCell="D308" sqref="D308"/>
    </sheetView>
  </sheetViews>
  <sheetFormatPr defaultColWidth="9.28515625" defaultRowHeight="14.25"/>
  <cols>
    <col min="1" max="2" width="4.7109375" style="336" customWidth="1"/>
    <col min="3" max="3" width="59.7109375" style="336" customWidth="1"/>
    <col min="4" max="4" width="3.28515625" style="336" customWidth="1"/>
    <col min="5" max="5" width="16.5703125" style="366" customWidth="1"/>
    <col min="6" max="6" width="15.28515625" style="336" customWidth="1"/>
    <col min="7" max="8" width="20.28515625" style="336" customWidth="1"/>
    <col min="9" max="9" width="17.28515625" style="336" customWidth="1"/>
    <col min="10" max="10" width="9.28515625" style="336"/>
    <col min="11" max="11" width="18" style="336" bestFit="1" customWidth="1"/>
    <col min="12" max="12" width="9.28515625" style="336" bestFit="1" customWidth="1"/>
    <col min="13" max="13" width="18" style="336" bestFit="1" customWidth="1"/>
    <col min="14" max="16384" width="9.28515625" style="336"/>
  </cols>
  <sheetData>
    <row r="2" spans="1:9" ht="15">
      <c r="A2" s="722" t="str">
        <f>+'Appendix A'!A3</f>
        <v>Dayton Power and Light</v>
      </c>
      <c r="B2" s="722"/>
      <c r="C2" s="722"/>
      <c r="D2" s="722"/>
      <c r="E2" s="722"/>
      <c r="F2" s="722"/>
      <c r="G2" s="722"/>
      <c r="H2" s="722"/>
      <c r="I2" s="24"/>
    </row>
    <row r="3" spans="1:9" ht="15">
      <c r="A3" s="722" t="str">
        <f>+'Appendix A'!A4</f>
        <v xml:space="preserve">ATTACHMENT H-15A </v>
      </c>
      <c r="B3" s="722"/>
      <c r="C3" s="722"/>
      <c r="D3" s="722"/>
      <c r="E3" s="722"/>
      <c r="F3" s="723"/>
      <c r="G3" s="723"/>
      <c r="H3" s="723"/>
      <c r="I3" s="346"/>
    </row>
    <row r="4" spans="1:9" ht="15">
      <c r="A4" s="722" t="s">
        <v>1009</v>
      </c>
      <c r="B4" s="722"/>
      <c r="C4" s="722"/>
      <c r="D4" s="722"/>
      <c r="E4" s="722"/>
      <c r="F4" s="723"/>
      <c r="G4" s="723"/>
      <c r="H4" s="723"/>
    </row>
    <row r="5" spans="1:9">
      <c r="A5" s="336" t="s">
        <v>389</v>
      </c>
    </row>
    <row r="6" spans="1:9" ht="15">
      <c r="A6" s="336" t="s">
        <v>366</v>
      </c>
      <c r="D6" s="367"/>
    </row>
    <row r="8" spans="1:9">
      <c r="D8" s="340"/>
      <c r="E8" s="340" t="s">
        <v>390</v>
      </c>
      <c r="F8" s="340"/>
      <c r="G8" s="340" t="s">
        <v>391</v>
      </c>
      <c r="H8" s="340"/>
    </row>
    <row r="9" spans="1:9">
      <c r="A9" s="368" t="s">
        <v>392</v>
      </c>
      <c r="B9" s="368"/>
      <c r="D9" s="340"/>
      <c r="E9" s="340" t="s">
        <v>393</v>
      </c>
      <c r="F9" s="340" t="s">
        <v>383</v>
      </c>
      <c r="G9" s="340" t="s">
        <v>394</v>
      </c>
      <c r="H9" s="340"/>
    </row>
    <row r="10" spans="1:9">
      <c r="A10" s="368"/>
      <c r="B10" s="368"/>
      <c r="D10" s="340"/>
      <c r="E10" s="369"/>
      <c r="F10" s="340"/>
      <c r="G10" s="340"/>
      <c r="H10" s="340"/>
    </row>
    <row r="11" spans="1:9">
      <c r="A11" s="368"/>
      <c r="B11" s="368" t="s">
        <v>395</v>
      </c>
      <c r="D11" s="340"/>
      <c r="E11" s="369"/>
      <c r="F11" s="340"/>
      <c r="G11" s="340"/>
      <c r="H11" s="340"/>
    </row>
    <row r="12" spans="1:9">
      <c r="A12" s="335">
        <v>1</v>
      </c>
      <c r="C12" s="336" t="s">
        <v>396</v>
      </c>
      <c r="D12" s="352"/>
      <c r="E12" s="370">
        <f>+'4 - Cost Support'!T117</f>
        <v>10368057</v>
      </c>
      <c r="F12" s="371" t="s">
        <v>397</v>
      </c>
      <c r="G12" s="350">
        <f>+E12</f>
        <v>10368057</v>
      </c>
      <c r="H12" s="122" t="str">
        <f>"(Attachment 4, Line "&amp;'4 - Cost Support'!A117&amp;")"</f>
        <v>(Attachment 4, Line 41)</v>
      </c>
    </row>
    <row r="13" spans="1:9">
      <c r="A13" s="335">
        <f>+A12+1</f>
        <v>2</v>
      </c>
      <c r="C13" s="372" t="s">
        <v>398</v>
      </c>
      <c r="E13" s="373">
        <v>0</v>
      </c>
      <c r="F13" s="374" t="s">
        <v>397</v>
      </c>
      <c r="G13" s="375">
        <f t="shared" ref="G13:G14" si="0">+E13</f>
        <v>0</v>
      </c>
      <c r="H13" s="352"/>
    </row>
    <row r="14" spans="1:9">
      <c r="A14" s="335">
        <f>+A13+1</f>
        <v>3</v>
      </c>
      <c r="C14" s="372" t="s">
        <v>398</v>
      </c>
      <c r="E14" s="376">
        <v>0</v>
      </c>
      <c r="F14" s="377" t="s">
        <v>397</v>
      </c>
      <c r="G14" s="378">
        <f t="shared" si="0"/>
        <v>0</v>
      </c>
      <c r="H14" s="352"/>
    </row>
    <row r="15" spans="1:9">
      <c r="A15" s="335">
        <f>+A14+1</f>
        <v>4</v>
      </c>
      <c r="B15" s="368" t="s">
        <v>399</v>
      </c>
      <c r="D15" s="352"/>
      <c r="E15" s="370">
        <f>+E12+E13+E14</f>
        <v>10368057</v>
      </c>
      <c r="F15" s="374" t="s">
        <v>397</v>
      </c>
      <c r="G15" s="375">
        <f>+E15</f>
        <v>10368057</v>
      </c>
      <c r="H15" s="352"/>
    </row>
    <row r="16" spans="1:9">
      <c r="D16" s="340"/>
      <c r="E16" s="379"/>
      <c r="F16" s="350"/>
      <c r="G16" s="380"/>
      <c r="H16" s="340"/>
    </row>
    <row r="17" spans="1:13">
      <c r="A17" s="335"/>
      <c r="B17" s="368" t="s">
        <v>400</v>
      </c>
      <c r="D17" s="340"/>
      <c r="E17" s="381"/>
      <c r="F17" s="380" t="s">
        <v>20</v>
      </c>
      <c r="G17" s="380"/>
      <c r="H17" s="340"/>
    </row>
    <row r="18" spans="1:13">
      <c r="A18" s="335"/>
      <c r="D18" s="340"/>
      <c r="E18" s="381"/>
      <c r="F18" s="380"/>
      <c r="G18" s="380"/>
      <c r="H18" s="340"/>
    </row>
    <row r="19" spans="1:13">
      <c r="A19" s="335">
        <f>+A15+1</f>
        <v>5</v>
      </c>
      <c r="C19" s="382" t="s">
        <v>398</v>
      </c>
      <c r="D19" s="352"/>
      <c r="E19" s="383">
        <v>0</v>
      </c>
      <c r="F19" s="384"/>
      <c r="G19" s="385"/>
      <c r="H19" s="352"/>
      <c r="K19" s="365"/>
      <c r="L19" s="365"/>
      <c r="M19" s="365"/>
    </row>
    <row r="20" spans="1:13">
      <c r="A20" s="335">
        <f>+A19+1</f>
        <v>6</v>
      </c>
      <c r="B20" s="368" t="s">
        <v>401</v>
      </c>
      <c r="D20" s="352"/>
      <c r="E20" s="386">
        <f>SUM(E19:E19)</f>
        <v>0</v>
      </c>
      <c r="F20" s="387">
        <f>+'Appendix A'!H27</f>
        <v>0.16033498951641173</v>
      </c>
      <c r="G20" s="386">
        <f>+E20*F20</f>
        <v>0</v>
      </c>
      <c r="H20" s="386"/>
      <c r="K20" s="365"/>
      <c r="L20" s="365"/>
      <c r="M20" s="365"/>
    </row>
    <row r="21" spans="1:13" ht="12.75" customHeight="1">
      <c r="A21" s="335"/>
      <c r="D21" s="352"/>
      <c r="E21" s="388"/>
      <c r="F21" s="352"/>
      <c r="G21" s="389"/>
      <c r="H21" s="389"/>
      <c r="K21" s="365"/>
      <c r="L21" s="365"/>
      <c r="M21" s="365"/>
    </row>
    <row r="22" spans="1:13" ht="12.75" customHeight="1">
      <c r="A22" s="335"/>
      <c r="B22" s="368" t="s">
        <v>327</v>
      </c>
      <c r="D22" s="352"/>
      <c r="E22" s="388"/>
      <c r="F22" s="340" t="s">
        <v>402</v>
      </c>
      <c r="G22" s="352"/>
      <c r="H22" s="352"/>
      <c r="K22" s="365"/>
      <c r="L22" s="365"/>
      <c r="M22" s="365"/>
    </row>
    <row r="23" spans="1:13" ht="12.75" customHeight="1">
      <c r="A23" s="335"/>
      <c r="D23" s="352"/>
      <c r="E23" s="388"/>
      <c r="F23" s="352"/>
      <c r="G23" s="352"/>
      <c r="H23" s="352"/>
      <c r="K23" s="365"/>
      <c r="L23" s="365"/>
      <c r="M23" s="365"/>
    </row>
    <row r="24" spans="1:13">
      <c r="A24" s="335">
        <f>+A20+1</f>
        <v>7</v>
      </c>
      <c r="C24" s="336" t="s">
        <v>403</v>
      </c>
      <c r="E24" s="386">
        <f>+'4 - Cost Support'!S118</f>
        <v>3389984</v>
      </c>
      <c r="K24" s="365"/>
      <c r="L24" s="365"/>
      <c r="M24" s="365"/>
    </row>
    <row r="25" spans="1:13">
      <c r="A25" s="335">
        <f>1+A24</f>
        <v>8</v>
      </c>
      <c r="C25" s="336" t="s">
        <v>404</v>
      </c>
      <c r="E25" s="386">
        <f>+'4 - Cost Support'!S119</f>
        <v>0</v>
      </c>
      <c r="K25" s="365"/>
      <c r="L25" s="365"/>
      <c r="M25" s="365"/>
    </row>
    <row r="26" spans="1:13">
      <c r="A26" s="335">
        <f>1+A25</f>
        <v>9</v>
      </c>
      <c r="C26" s="382" t="s">
        <v>405</v>
      </c>
      <c r="E26" s="390">
        <v>1111025</v>
      </c>
      <c r="F26" s="391"/>
      <c r="G26" s="391"/>
      <c r="K26" s="365"/>
      <c r="L26" s="365"/>
      <c r="M26" s="365"/>
    </row>
    <row r="27" spans="1:13">
      <c r="A27" s="335">
        <f>1+A26</f>
        <v>10</v>
      </c>
      <c r="B27" s="368" t="s">
        <v>406</v>
      </c>
      <c r="E27" s="386">
        <f>SUM(E24:E26)</f>
        <v>4501009</v>
      </c>
      <c r="F27" s="392">
        <f>+'Appendix A'!H16</f>
        <v>0.15894128950099584</v>
      </c>
      <c r="G27" s="386">
        <f>+E27*F27</f>
        <v>715396.17451558774</v>
      </c>
      <c r="H27" s="386"/>
      <c r="K27" s="365"/>
      <c r="L27" s="365"/>
      <c r="M27" s="365"/>
    </row>
    <row r="28" spans="1:13">
      <c r="A28" s="335"/>
      <c r="B28" s="368"/>
      <c r="E28" s="386"/>
      <c r="F28" s="393"/>
      <c r="G28" s="386"/>
      <c r="H28" s="386"/>
      <c r="K28" s="365"/>
      <c r="L28" s="365"/>
      <c r="M28" s="365"/>
    </row>
    <row r="29" spans="1:13" ht="15" thickBot="1">
      <c r="A29" s="335">
        <f>+A27+1</f>
        <v>11</v>
      </c>
      <c r="B29" s="368" t="s">
        <v>407</v>
      </c>
      <c r="E29" s="394">
        <f>+E15+E20+E27</f>
        <v>14869066</v>
      </c>
      <c r="F29" s="395"/>
      <c r="G29" s="394">
        <f>+G15+G20+G27</f>
        <v>11083453.174515588</v>
      </c>
      <c r="H29" s="396"/>
      <c r="K29" s="365"/>
      <c r="L29" s="365"/>
      <c r="M29" s="365"/>
    </row>
    <row r="30" spans="1:13" ht="15" thickTop="1">
      <c r="A30" s="335"/>
      <c r="C30" s="339"/>
      <c r="K30" s="365"/>
      <c r="L30" s="365"/>
      <c r="M30" s="365"/>
    </row>
    <row r="31" spans="1:13">
      <c r="A31" s="335"/>
      <c r="C31" s="339"/>
      <c r="F31" s="386"/>
      <c r="K31" s="365"/>
      <c r="L31" s="365"/>
      <c r="M31" s="365"/>
    </row>
    <row r="32" spans="1:13">
      <c r="A32" s="335"/>
      <c r="C32" s="368" t="s">
        <v>241</v>
      </c>
      <c r="K32" s="365"/>
      <c r="L32" s="365"/>
      <c r="M32" s="365"/>
    </row>
    <row r="33" spans="1:13">
      <c r="A33" s="335"/>
      <c r="G33" s="368"/>
      <c r="H33" s="368"/>
      <c r="K33" s="365"/>
      <c r="L33" s="365"/>
      <c r="M33" s="365"/>
    </row>
    <row r="34" spans="1:13">
      <c r="A34" s="335">
        <f>1+A29</f>
        <v>12</v>
      </c>
      <c r="C34" s="397" t="s">
        <v>408</v>
      </c>
      <c r="E34" s="398">
        <v>0</v>
      </c>
      <c r="F34" s="338"/>
      <c r="K34" s="365"/>
      <c r="L34" s="365"/>
      <c r="M34" s="365"/>
    </row>
    <row r="35" spans="1:13">
      <c r="A35" s="335">
        <f>1+A34</f>
        <v>13</v>
      </c>
      <c r="C35" s="397" t="s">
        <v>409</v>
      </c>
      <c r="E35" s="398">
        <v>0</v>
      </c>
      <c r="F35" s="338"/>
      <c r="K35" s="365"/>
      <c r="L35" s="365"/>
      <c r="M35" s="365"/>
    </row>
    <row r="36" spans="1:13">
      <c r="A36" s="335">
        <f t="shared" ref="A36:A41" si="1">1+A35</f>
        <v>14</v>
      </c>
      <c r="C36" s="397" t="s">
        <v>410</v>
      </c>
      <c r="E36" s="398">
        <v>0</v>
      </c>
      <c r="F36" s="338"/>
      <c r="K36" s="365"/>
      <c r="L36" s="365"/>
      <c r="M36" s="365"/>
    </row>
    <row r="37" spans="1:13">
      <c r="A37" s="335">
        <f t="shared" si="1"/>
        <v>15</v>
      </c>
      <c r="C37" s="397" t="s">
        <v>411</v>
      </c>
      <c r="E37" s="398">
        <v>0</v>
      </c>
      <c r="F37" s="338"/>
      <c r="K37" s="365"/>
      <c r="L37" s="365"/>
      <c r="M37" s="365"/>
    </row>
    <row r="38" spans="1:13">
      <c r="A38" s="335">
        <f t="shared" si="1"/>
        <v>16</v>
      </c>
      <c r="C38" s="382" t="s">
        <v>398</v>
      </c>
      <c r="D38" s="352"/>
      <c r="E38" s="398">
        <v>0</v>
      </c>
      <c r="F38" s="338"/>
      <c r="K38" s="365"/>
      <c r="L38" s="365"/>
      <c r="M38" s="365"/>
    </row>
    <row r="39" spans="1:13">
      <c r="A39" s="335">
        <f t="shared" si="1"/>
        <v>17</v>
      </c>
      <c r="C39" s="382" t="s">
        <v>398</v>
      </c>
      <c r="D39" s="352"/>
      <c r="E39" s="398">
        <v>0</v>
      </c>
      <c r="F39" s="338"/>
      <c r="K39" s="365"/>
      <c r="L39" s="365"/>
      <c r="M39" s="365"/>
    </row>
    <row r="40" spans="1:13">
      <c r="A40" s="335">
        <f t="shared" si="1"/>
        <v>18</v>
      </c>
      <c r="C40" s="382" t="s">
        <v>398</v>
      </c>
      <c r="E40" s="398">
        <v>0</v>
      </c>
      <c r="F40" s="338"/>
      <c r="K40" s="365"/>
      <c r="L40" s="365"/>
      <c r="M40" s="365"/>
    </row>
    <row r="41" spans="1:13" ht="15">
      <c r="A41" s="335">
        <f t="shared" si="1"/>
        <v>19</v>
      </c>
      <c r="C41" s="346" t="s">
        <v>412</v>
      </c>
      <c r="E41" s="399">
        <f>SUM(E34:E40)</f>
        <v>0</v>
      </c>
      <c r="K41" s="365"/>
      <c r="L41" s="365"/>
      <c r="M41" s="365"/>
    </row>
    <row r="42" spans="1:13">
      <c r="A42" s="335"/>
      <c r="E42" s="400"/>
      <c r="K42" s="365"/>
      <c r="L42" s="365"/>
      <c r="M42" s="365"/>
    </row>
    <row r="43" spans="1:13" ht="15">
      <c r="A43" s="335">
        <f>1+A41</f>
        <v>20</v>
      </c>
      <c r="B43" s="346" t="s">
        <v>413</v>
      </c>
      <c r="C43" s="346"/>
      <c r="E43" s="401">
        <f>+E29+E41</f>
        <v>14869066</v>
      </c>
      <c r="K43" s="365"/>
      <c r="L43" s="365"/>
      <c r="M43" s="365"/>
    </row>
    <row r="44" spans="1:13">
      <c r="A44" s="335"/>
      <c r="E44" s="400"/>
      <c r="K44" s="365"/>
      <c r="L44" s="365"/>
      <c r="M44" s="365"/>
    </row>
    <row r="45" spans="1:13" ht="15">
      <c r="A45" s="335">
        <f>1+A43</f>
        <v>21</v>
      </c>
      <c r="B45" s="346" t="s">
        <v>414</v>
      </c>
      <c r="C45" s="346"/>
      <c r="D45" s="402"/>
      <c r="E45" s="398">
        <v>0</v>
      </c>
      <c r="F45" s="403"/>
      <c r="G45" s="403"/>
      <c r="H45" s="403"/>
      <c r="K45" s="365"/>
      <c r="L45" s="365"/>
      <c r="M45" s="365"/>
    </row>
    <row r="46" spans="1:13">
      <c r="C46" s="404"/>
      <c r="D46" s="404"/>
      <c r="E46" s="375"/>
      <c r="F46" s="403"/>
      <c r="G46" s="403"/>
      <c r="H46" s="403"/>
      <c r="K46" s="365"/>
      <c r="L46" s="365"/>
      <c r="M46" s="365"/>
    </row>
    <row r="47" spans="1:13">
      <c r="A47" s="335">
        <f>1+A45</f>
        <v>22</v>
      </c>
      <c r="C47" s="404" t="s">
        <v>415</v>
      </c>
      <c r="D47" s="404"/>
      <c r="E47" s="405">
        <f>+E43-E45</f>
        <v>14869066</v>
      </c>
      <c r="G47" s="403"/>
      <c r="H47" s="403"/>
      <c r="K47" s="365"/>
      <c r="L47" s="365"/>
      <c r="M47" s="365"/>
    </row>
    <row r="48" spans="1:13">
      <c r="C48" s="404"/>
      <c r="D48" s="404"/>
      <c r="E48" s="406"/>
      <c r="F48" s="403"/>
      <c r="G48" s="403"/>
      <c r="H48" s="403"/>
    </row>
    <row r="49" spans="3:8">
      <c r="C49" s="404"/>
      <c r="D49" s="404"/>
      <c r="E49" s="406"/>
      <c r="F49" s="403"/>
      <c r="G49" s="403"/>
      <c r="H49" s="403"/>
    </row>
    <row r="50" spans="3:8">
      <c r="C50" s="404"/>
      <c r="D50" s="404"/>
      <c r="E50" s="406"/>
      <c r="F50" s="403"/>
      <c r="G50" s="403"/>
      <c r="H50" s="403"/>
    </row>
    <row r="51" spans="3:8">
      <c r="C51" s="404"/>
      <c r="D51" s="404"/>
      <c r="E51" s="406"/>
      <c r="F51" s="403"/>
      <c r="G51" s="403"/>
      <c r="H51" s="403"/>
    </row>
    <row r="52" spans="3:8" ht="25.15" customHeight="1">
      <c r="E52" s="386"/>
      <c r="F52" s="338"/>
      <c r="G52" s="338"/>
      <c r="H52" s="338"/>
    </row>
    <row r="53" spans="3:8" ht="25.15" customHeight="1">
      <c r="E53" s="386"/>
      <c r="F53" s="338"/>
      <c r="G53" s="338"/>
      <c r="H53" s="338"/>
    </row>
    <row r="54" spans="3:8" ht="25.15" customHeight="1">
      <c r="C54" s="339"/>
      <c r="E54" s="386"/>
      <c r="G54" s="338"/>
      <c r="H54" s="338"/>
    </row>
    <row r="55" spans="3:8" ht="25.15" customHeight="1">
      <c r="E55" s="386"/>
      <c r="G55" s="338"/>
      <c r="H55" s="338"/>
    </row>
    <row r="56" spans="3:8" ht="25.15" customHeight="1">
      <c r="C56" s="339"/>
      <c r="E56" s="386"/>
      <c r="G56" s="338"/>
      <c r="H56" s="338"/>
    </row>
    <row r="57" spans="3:8" ht="25.15" customHeight="1">
      <c r="E57" s="386"/>
      <c r="G57" s="338"/>
      <c r="H57" s="338"/>
    </row>
    <row r="58" spans="3:8" ht="25.15" customHeight="1">
      <c r="C58" s="339"/>
      <c r="E58" s="386"/>
      <c r="G58" s="338"/>
      <c r="H58" s="338"/>
    </row>
    <row r="59" spans="3:8" ht="25.15" customHeight="1">
      <c r="E59" s="386"/>
    </row>
    <row r="60" spans="3:8" ht="25.15" customHeight="1"/>
    <row r="61" spans="3:8" ht="25.15" customHeight="1"/>
  </sheetData>
  <customSheetViews>
    <customSheetView guid="{3A38DF7A-C35E-4DD3-9893-26310A3EF836}" scale="75" showPageBreaks="1" fitToPage="1" showRuler="0" topLeftCell="A19">
      <selection activeCell="G41" sqref="G41"/>
      <pageMargins left="0" right="0" top="0" bottom="0" header="0" footer="0"/>
      <pageSetup scale="74" orientation="portrait" r:id="rId1"/>
      <headerFooter alignWithMargins="0">
        <oddHeader>&amp;R&amp;12Page &amp;P of &amp;N</oddHeader>
      </headerFooter>
    </customSheetView>
    <customSheetView guid="{F96D6087-3330-4A81-95EC-26BA83722A49}" scale="75" showPageBreaks="1" fitToPage="1" showRuler="0" topLeftCell="A14">
      <selection activeCell="G21" sqref="G21"/>
      <pageMargins left="0" right="0" top="0" bottom="0" header="0" footer="0"/>
      <pageSetup scale="70" orientation="portrait" r:id="rId2"/>
      <headerFooter alignWithMargins="0">
        <oddHeader>&amp;R&amp;12Page &amp;P of &amp;N</oddHeader>
      </headerFooter>
    </customSheetView>
    <customSheetView guid="{DA967730-B71F-4038-B1B7-9D4790729C5D}" scale="75" showPageBreaks="1" fitToPage="1" showRuler="0" topLeftCell="A14">
      <selection activeCell="G21" sqref="G21"/>
      <pageMargins left="0" right="0" top="0" bottom="0" header="0" footer="0"/>
      <pageSetup scale="68" orientation="portrait" r:id="rId3"/>
      <headerFooter alignWithMargins="0">
        <oddHeader>&amp;R&amp;12Page &amp;P of &amp;N</oddHeader>
      </headerFooter>
    </customSheetView>
    <customSheetView guid="{4C7C2344-134C-465A-ADEB-A5E96AAE2308}" scale="75" showPageBreaks="1" fitToPage="1" showRuler="0" topLeftCell="A14">
      <selection activeCell="G21" sqref="G21"/>
      <pageMargins left="0" right="0" top="0" bottom="0" header="0" footer="0"/>
      <pageSetup scale="70" orientation="portrait" r:id="rId4"/>
      <headerFooter alignWithMargins="0">
        <oddHeader>&amp;R&amp;12Page &amp;P of &amp;N</oddHeader>
      </headerFooter>
    </customSheetView>
    <customSheetView guid="{FAAD9AAC-1337-43AB-BF1F-CCF9DFCF5B78}" scale="75" fitToPage="1" showRuler="0" topLeftCell="A60">
      <selection activeCell="B97" sqref="B97"/>
      <pageMargins left="0" right="0" top="0" bottom="0" header="0" footer="0"/>
      <pageSetup scale="71" orientation="portrait" r:id="rId5"/>
      <headerFooter alignWithMargins="0">
        <oddHeader>&amp;R&amp;12Page &amp;P of &amp;N</oddHeader>
      </headerFooter>
    </customSheetView>
    <customSheetView guid="{71B42B22-A376-44B5-B0C1-23FC1AA3DBA2}" scale="75" fitToPage="1" showRuler="0">
      <selection activeCell="C59" sqref="C59"/>
      <pageMargins left="0" right="0" top="0" bottom="0" header="0" footer="0"/>
      <pageSetup scale="72" orientation="portrait" r:id="rId6"/>
      <headerFooter alignWithMargins="0">
        <oddHeader>&amp;R&amp;14Page &amp;P of &amp;N</oddHeader>
      </headerFooter>
    </customSheetView>
    <customSheetView guid="{28948E05-8F34-4F1E-96FB-A80A6A844600}" scale="75" showPageBreaks="1" fitToPage="1" showRuler="0">
      <selection activeCell="C59" sqref="C59"/>
      <pageMargins left="0" right="0" top="0" bottom="0" header="0" footer="0"/>
      <pageSetup scale="71" orientation="portrait" r:id="rId7"/>
      <headerFooter alignWithMargins="0">
        <oddHeader>&amp;R&amp;12Page &amp;P of &amp;N</oddHeader>
      </headerFooter>
    </customSheetView>
    <customSheetView guid="{DC91DEF3-837B-4BB9-A81E-3B78C5914E6C}" scale="75" showPageBreaks="1" fitToPage="1" showRuler="0" topLeftCell="A37">
      <selection activeCell="B71" sqref="B71:C74"/>
      <pageMargins left="0" right="0" top="0" bottom="0" header="0" footer="0"/>
      <pageSetup scale="71"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9" orientation="portrait" r:id="rId9"/>
      <headerFooter alignWithMargins="0"/>
    </customSheetView>
  </customSheetViews>
  <mergeCells count="3">
    <mergeCell ref="A4:H4"/>
    <mergeCell ref="A2:H2"/>
    <mergeCell ref="A3:H3"/>
  </mergeCells>
  <phoneticPr fontId="0" type="noConversion"/>
  <printOptions horizontalCentered="1"/>
  <pageMargins left="0.75" right="0.75" top="1" bottom="1" header="0.5" footer="0.5"/>
  <pageSetup scale="53" orientation="portrait" r:id="rId10"/>
  <headerFooter alignWithMargins="0"/>
  <customProperties>
    <customPr name="_pios_id" r:id="rId11"/>
    <customPr name="EpmWorksheetKeyString_GUID" r:id="rId1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A2:AM45"/>
  <sheetViews>
    <sheetView showGridLines="0" topLeftCell="A10" zoomScale="85" zoomScaleNormal="85" workbookViewId="0"/>
  </sheetViews>
  <sheetFormatPr defaultColWidth="9.28515625" defaultRowHeight="14.25"/>
  <cols>
    <col min="1" max="1" width="7.28515625" style="335" customWidth="1"/>
    <col min="2" max="2" width="120.5703125" style="336" customWidth="1"/>
    <col min="3" max="3" width="23.7109375" style="336" customWidth="1"/>
    <col min="4" max="4" width="17" style="337" bestFit="1" customWidth="1"/>
    <col min="5" max="5" width="17.5703125" style="336" customWidth="1"/>
    <col min="6" max="6" width="9.28515625" style="336"/>
    <col min="7" max="7" width="12.5703125" style="336" bestFit="1" customWidth="1"/>
    <col min="8" max="9" width="9.28515625" style="336"/>
    <col min="10" max="10" width="13.28515625" style="336" bestFit="1" customWidth="1"/>
    <col min="11" max="14" width="9.28515625" style="336"/>
    <col min="15" max="15" width="14.5703125" style="336" bestFit="1" customWidth="1"/>
    <col min="16" max="16384" width="9.28515625" style="336"/>
  </cols>
  <sheetData>
    <row r="2" spans="1:5" ht="15">
      <c r="A2" s="722" t="str">
        <f>+'Appendix A'!A3</f>
        <v>Dayton Power and Light</v>
      </c>
      <c r="B2" s="722"/>
      <c r="C2" s="722"/>
      <c r="D2" s="722"/>
    </row>
    <row r="3" spans="1:5" ht="15">
      <c r="A3" s="722" t="str">
        <f>+'Appendix A'!A4</f>
        <v xml:space="preserve">ATTACHMENT H-15A </v>
      </c>
      <c r="B3" s="722"/>
      <c r="C3" s="722"/>
      <c r="D3" s="722"/>
      <c r="E3" s="24"/>
    </row>
    <row r="4" spans="1:5" ht="15">
      <c r="A4" s="722" t="s">
        <v>1010</v>
      </c>
      <c r="B4" s="722"/>
      <c r="C4" s="722"/>
      <c r="D4" s="722"/>
    </row>
    <row r="5" spans="1:5">
      <c r="B5" s="338"/>
      <c r="C5" s="335"/>
    </row>
    <row r="6" spans="1:5">
      <c r="A6" s="339" t="s">
        <v>366</v>
      </c>
      <c r="B6" s="338"/>
      <c r="C6" s="335"/>
      <c r="D6" s="340"/>
    </row>
    <row r="7" spans="1:5">
      <c r="B7" s="338"/>
      <c r="C7" s="335"/>
      <c r="D7" s="341"/>
    </row>
    <row r="8" spans="1:5">
      <c r="B8" s="338"/>
      <c r="C8" s="335"/>
    </row>
    <row r="9" spans="1:5" ht="15" customHeight="1">
      <c r="C9" s="335"/>
      <c r="D9" s="342"/>
    </row>
    <row r="10" spans="1:5" ht="15">
      <c r="B10" s="343" t="s">
        <v>416</v>
      </c>
      <c r="C10" s="335"/>
      <c r="D10" s="344"/>
    </row>
    <row r="11" spans="1:5">
      <c r="A11" s="335">
        <v>1</v>
      </c>
      <c r="B11" s="339" t="s">
        <v>418</v>
      </c>
      <c r="C11" s="335"/>
      <c r="D11" s="345">
        <v>0</v>
      </c>
      <c r="E11" s="46" t="s">
        <v>417</v>
      </c>
    </row>
    <row r="12" spans="1:5" ht="15">
      <c r="B12" s="343"/>
      <c r="C12" s="335"/>
      <c r="D12" s="344"/>
    </row>
    <row r="13" spans="1:5" ht="15">
      <c r="B13" s="346" t="s">
        <v>419</v>
      </c>
      <c r="D13" s="344"/>
    </row>
    <row r="14" spans="1:5">
      <c r="A14" s="335">
        <f>+A11+1</f>
        <v>2</v>
      </c>
      <c r="B14" s="336" t="s">
        <v>420</v>
      </c>
      <c r="D14" s="347">
        <v>0</v>
      </c>
      <c r="E14" s="46" t="s">
        <v>417</v>
      </c>
    </row>
    <row r="15" spans="1:5">
      <c r="A15" s="335">
        <f>+A14+1</f>
        <v>3</v>
      </c>
      <c r="B15" s="336" t="s">
        <v>421</v>
      </c>
      <c r="D15" s="347">
        <v>0</v>
      </c>
      <c r="E15" s="46" t="s">
        <v>417</v>
      </c>
    </row>
    <row r="16" spans="1:5">
      <c r="A16" s="335">
        <f t="shared" ref="A16:A17" si="0">+A15+1</f>
        <v>4</v>
      </c>
      <c r="B16" s="336" t="s">
        <v>422</v>
      </c>
      <c r="D16" s="347">
        <v>0</v>
      </c>
      <c r="E16" s="46" t="s">
        <v>417</v>
      </c>
    </row>
    <row r="17" spans="1:39">
      <c r="A17" s="335">
        <f t="shared" si="0"/>
        <v>5</v>
      </c>
      <c r="B17" s="336" t="s">
        <v>423</v>
      </c>
      <c r="D17" s="348">
        <v>-43800</v>
      </c>
      <c r="E17" s="46" t="s">
        <v>417</v>
      </c>
    </row>
    <row r="18" spans="1:39">
      <c r="A18" s="335">
        <f>+A17+1</f>
        <v>6</v>
      </c>
      <c r="B18" s="336" t="s">
        <v>784</v>
      </c>
      <c r="D18" s="349">
        <f>+SUM(D14:D17)</f>
        <v>-43800</v>
      </c>
      <c r="E18" s="46"/>
    </row>
    <row r="19" spans="1:39">
      <c r="D19" s="344"/>
      <c r="E19" s="46"/>
    </row>
    <row r="20" spans="1:39" s="351" customFormat="1" ht="15">
      <c r="A20" s="335"/>
      <c r="B20" s="346" t="s">
        <v>424</v>
      </c>
      <c r="C20" s="336"/>
      <c r="D20" s="350"/>
      <c r="E20" s="4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row>
    <row r="21" spans="1:39" s="351" customFormat="1">
      <c r="A21" s="335">
        <f>+A18+1</f>
        <v>7</v>
      </c>
      <c r="B21" s="339" t="s">
        <v>425</v>
      </c>
      <c r="C21" s="352"/>
      <c r="D21" s="353">
        <v>-1326368</v>
      </c>
      <c r="E21" s="46" t="s">
        <v>417</v>
      </c>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row>
    <row r="22" spans="1:39" s="351" customFormat="1">
      <c r="A22" s="335">
        <f>+A21+1</f>
        <v>8</v>
      </c>
      <c r="B22" s="336" t="s">
        <v>426</v>
      </c>
      <c r="C22" s="336"/>
      <c r="D22" s="353">
        <v>0</v>
      </c>
      <c r="E22" s="46" t="s">
        <v>417</v>
      </c>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row>
    <row r="23" spans="1:39" s="351" customFormat="1">
      <c r="A23" s="335">
        <f>+A22+1</f>
        <v>9</v>
      </c>
      <c r="B23" s="336" t="s">
        <v>427</v>
      </c>
      <c r="C23" s="336"/>
      <c r="D23" s="353">
        <v>0</v>
      </c>
      <c r="E23" s="46" t="s">
        <v>417</v>
      </c>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row>
    <row r="24" spans="1:39">
      <c r="A24" s="335">
        <f>+A23+1</f>
        <v>10</v>
      </c>
      <c r="B24" s="336" t="s">
        <v>428</v>
      </c>
      <c r="D24" s="353">
        <v>0</v>
      </c>
      <c r="E24" s="46" t="s">
        <v>417</v>
      </c>
    </row>
    <row r="25" spans="1:39">
      <c r="A25" s="335">
        <f>+A24+1</f>
        <v>11</v>
      </c>
      <c r="B25" s="336" t="s">
        <v>429</v>
      </c>
      <c r="D25" s="348">
        <f>+-63394-30971</f>
        <v>-94365</v>
      </c>
      <c r="E25" s="46" t="s">
        <v>417</v>
      </c>
    </row>
    <row r="26" spans="1:39">
      <c r="A26" s="335">
        <f>+A25+1</f>
        <v>12</v>
      </c>
      <c r="B26" s="336" t="s">
        <v>785</v>
      </c>
      <c r="D26" s="350">
        <f>+SUM(D21:D25)</f>
        <v>-1420733</v>
      </c>
      <c r="E26" s="46"/>
    </row>
    <row r="27" spans="1:39" ht="30" customHeight="1">
      <c r="B27" s="346" t="s">
        <v>430</v>
      </c>
      <c r="D27" s="350"/>
      <c r="E27" s="46"/>
    </row>
    <row r="28" spans="1:39" ht="28.5">
      <c r="A28" s="354">
        <f>+A26+1</f>
        <v>13</v>
      </c>
      <c r="B28" s="352" t="s">
        <v>431</v>
      </c>
      <c r="C28" s="352"/>
      <c r="D28" s="355">
        <v>0</v>
      </c>
      <c r="E28" s="46" t="s">
        <v>417</v>
      </c>
    </row>
    <row r="29" spans="1:39">
      <c r="A29" s="335">
        <f>+A28+1</f>
        <v>14</v>
      </c>
      <c r="B29" s="336" t="s">
        <v>432</v>
      </c>
      <c r="C29" s="352"/>
      <c r="D29" s="348">
        <v>-588044</v>
      </c>
      <c r="E29" s="46" t="s">
        <v>417</v>
      </c>
    </row>
    <row r="30" spans="1:39">
      <c r="A30" s="335">
        <f>+A29+1</f>
        <v>15</v>
      </c>
      <c r="B30" s="336" t="s">
        <v>786</v>
      </c>
      <c r="C30" s="352"/>
      <c r="D30" s="356">
        <f>+D28+D29</f>
        <v>-588044</v>
      </c>
      <c r="E30" s="46"/>
    </row>
    <row r="31" spans="1:39" ht="28.5">
      <c r="A31" s="335">
        <f>+A29+1</f>
        <v>15</v>
      </c>
      <c r="B31" s="336" t="s">
        <v>433</v>
      </c>
      <c r="C31" s="357" t="str">
        <f>"(Sum of Lines "&amp;A11&amp;", "&amp;A18&amp;", "&amp;A26&amp;" and "&amp;A30&amp;")"</f>
        <v>(Sum of Lines 1, 6, 12 and 15)</v>
      </c>
      <c r="D31" s="19">
        <f>+D11+D18+D26+D30</f>
        <v>-2052577</v>
      </c>
      <c r="G31" s="350"/>
    </row>
    <row r="32" spans="1:39">
      <c r="D32" s="358"/>
      <c r="E32" s="46"/>
      <c r="F32" s="46"/>
      <c r="G32" s="46"/>
      <c r="H32" s="46"/>
      <c r="I32" s="46"/>
      <c r="J32" s="46"/>
      <c r="K32" s="46"/>
      <c r="L32" s="46"/>
      <c r="M32" s="46"/>
      <c r="N32" s="46"/>
      <c r="O32" s="46"/>
    </row>
    <row r="33" spans="1:16" ht="15">
      <c r="A33" s="335">
        <f>+A31+1</f>
        <v>16</v>
      </c>
      <c r="B33" s="336" t="s">
        <v>434</v>
      </c>
      <c r="D33" s="359">
        <f>+D37</f>
        <v>0</v>
      </c>
      <c r="E33" s="132"/>
      <c r="F33" s="132"/>
      <c r="G33" s="132"/>
      <c r="H33" s="132"/>
      <c r="I33" s="132"/>
      <c r="J33" s="132"/>
      <c r="K33" s="132"/>
      <c r="L33" s="132"/>
      <c r="M33" s="132"/>
      <c r="N33" s="132"/>
      <c r="O33" s="132"/>
    </row>
    <row r="34" spans="1:16" ht="15">
      <c r="A34" s="335">
        <f>A33+1</f>
        <v>17</v>
      </c>
      <c r="B34" s="336" t="s">
        <v>435</v>
      </c>
      <c r="C34" s="357" t="str">
        <f>"(Line "&amp;A31&amp;" - "&amp;A33&amp;")"</f>
        <v>(Line 15 - 16)</v>
      </c>
      <c r="D34" s="360">
        <f>+D31-D33</f>
        <v>-2052577</v>
      </c>
      <c r="E34" s="44"/>
      <c r="F34" s="132"/>
      <c r="G34" s="132"/>
      <c r="H34" s="132"/>
      <c r="I34" s="132"/>
      <c r="J34" s="44"/>
      <c r="K34" s="132"/>
      <c r="L34" s="132"/>
      <c r="M34" s="132"/>
      <c r="N34" s="132"/>
      <c r="O34" s="132"/>
    </row>
    <row r="35" spans="1:16" ht="15">
      <c r="B35" s="361"/>
      <c r="D35" s="358"/>
      <c r="E35" s="33"/>
      <c r="F35" s="33"/>
      <c r="G35" s="33"/>
      <c r="H35" s="33"/>
      <c r="I35" s="33"/>
      <c r="J35" s="33"/>
      <c r="K35" s="46"/>
      <c r="L35" s="46"/>
      <c r="M35" s="46"/>
      <c r="N35" s="46"/>
      <c r="O35" s="46"/>
    </row>
    <row r="36" spans="1:16" ht="28.9" customHeight="1">
      <c r="A36" s="354">
        <f>A34+1</f>
        <v>18</v>
      </c>
      <c r="B36" s="362" t="s">
        <v>787</v>
      </c>
      <c r="C36" s="357" t="str">
        <f>"(Sum of Lines "&amp;A14&amp;" , "&amp;A15&amp;" , "&amp;A16&amp;", "&amp;A22&amp;" and "&amp;A24&amp;")"</f>
        <v>(Sum of Lines 2 , 3 , 4, 8 and 10)</v>
      </c>
      <c r="D36" s="363">
        <f>+D14+D15+D16+D22+D24</f>
        <v>0</v>
      </c>
      <c r="E36" s="46"/>
      <c r="F36" s="46"/>
      <c r="G36" s="46"/>
      <c r="H36" s="46"/>
      <c r="I36" s="46"/>
      <c r="J36" s="46"/>
      <c r="K36" s="46"/>
      <c r="L36" s="46"/>
      <c r="M36" s="46"/>
      <c r="N36" s="46"/>
      <c r="O36" s="46"/>
      <c r="P36" s="46"/>
    </row>
    <row r="37" spans="1:16" ht="15" customHeight="1">
      <c r="A37" s="354">
        <f>+A36+1</f>
        <v>19</v>
      </c>
      <c r="B37" s="362" t="s">
        <v>436</v>
      </c>
      <c r="C37" s="357" t="str">
        <f>"(50% of Line "&amp;A36&amp;")"</f>
        <v>(50% of Line 18)</v>
      </c>
      <c r="D37" s="363">
        <f>+D36*0.5</f>
        <v>0</v>
      </c>
      <c r="E37" s="46"/>
      <c r="F37" s="46"/>
      <c r="G37" s="46"/>
      <c r="H37" s="46"/>
      <c r="I37" s="46"/>
      <c r="J37" s="46"/>
      <c r="K37" s="46"/>
      <c r="L37" s="46"/>
      <c r="M37" s="46"/>
      <c r="N37" s="46"/>
      <c r="O37" s="151"/>
    </row>
    <row r="38" spans="1:16">
      <c r="A38" s="354"/>
      <c r="D38" s="359"/>
      <c r="O38" s="364"/>
    </row>
    <row r="40" spans="1:16" ht="31.9" customHeight="1">
      <c r="A40" s="354" t="s">
        <v>437</v>
      </c>
      <c r="B40" s="724" t="s">
        <v>438</v>
      </c>
      <c r="C40" s="724"/>
      <c r="D40" s="724"/>
    </row>
    <row r="41" spans="1:16" ht="88.9" customHeight="1">
      <c r="A41" s="354" t="s">
        <v>439</v>
      </c>
      <c r="B41" s="725" t="s">
        <v>1005</v>
      </c>
      <c r="C41" s="710"/>
      <c r="D41" s="710"/>
    </row>
    <row r="42" spans="1:16">
      <c r="A42" s="335" t="s">
        <v>440</v>
      </c>
      <c r="B42" s="336" t="s">
        <v>441</v>
      </c>
      <c r="O42" s="365"/>
    </row>
    <row r="43" spans="1:16">
      <c r="O43" s="365"/>
    </row>
    <row r="44" spans="1:16">
      <c r="O44" s="365"/>
    </row>
    <row r="45" spans="1:16">
      <c r="O45" s="365"/>
    </row>
  </sheetData>
  <customSheetViews>
    <customSheetView guid="{3A38DF7A-C35E-4DD3-9893-26310A3EF836}" scale="75" showPageBreaks="1" fitToPage="1" printArea="1" showRuler="0" topLeftCell="A22">
      <selection activeCell="D42" sqref="D42"/>
      <pageMargins left="0" right="0" top="0" bottom="0" header="0" footer="0"/>
      <printOptions horizontalCentered="1"/>
      <pageSetup scale="65" orientation="portrait" r:id="rId1"/>
      <headerFooter alignWithMargins="0">
        <oddHeader>&amp;R&amp;12Page &amp;P of &amp;N</oddHeader>
      </headerFooter>
    </customSheetView>
    <customSheetView guid="{F96D6087-3330-4A81-95EC-26BA83722A49}" scale="75" showPageBreaks="1" fitToPage="1" printArea="1" showRuler="0" topLeftCell="A19">
      <selection activeCell="D42" sqref="D42"/>
      <pageMargins left="0" right="0" top="0" bottom="0" header="0" footer="0"/>
      <printOptions horizontalCentered="1"/>
      <pageSetup scale="65" orientation="portrait" r:id="rId2"/>
      <headerFooter alignWithMargins="0">
        <oddHeader>&amp;R&amp;12Page &amp;P of &amp;N</oddHeader>
      </headerFooter>
    </customSheetView>
    <customSheetView guid="{DA967730-B71F-4038-B1B7-9D4790729C5D}" scale="75" showPageBreaks="1" fitToPage="1" printArea="1" showRuler="0" topLeftCell="A19">
      <selection activeCell="D42" sqref="D42"/>
      <pageMargins left="0" right="0" top="0" bottom="0" header="0" footer="0"/>
      <printOptions horizontalCentered="1"/>
      <pageSetup scale="64" orientation="portrait" r:id="rId3"/>
      <headerFooter alignWithMargins="0">
        <oddHeader>&amp;R&amp;12Page &amp;P of &amp;N</oddHeader>
      </headerFooter>
    </customSheetView>
    <customSheetView guid="{4C7C2344-134C-465A-ADEB-A5E96AAE2308}" scale="75" showPageBreaks="1" fitToPage="1" printArea="1" showRuler="0" topLeftCell="A19">
      <selection activeCell="D42" sqref="D42"/>
      <pageMargins left="0" right="0" top="0" bottom="0" header="0" footer="0"/>
      <printOptions horizontalCentered="1"/>
      <pageSetup scale="66" orientation="portrait" r:id="rId4"/>
      <headerFooter alignWithMargins="0">
        <oddHeader>&amp;R&amp;12Page &amp;P of &amp;N</oddHeader>
      </headerFooter>
    </customSheetView>
    <customSheetView guid="{FAAD9AAC-1337-43AB-BF1F-CCF9DFCF5B78}" scale="75" showPageBreaks="1" fitToPage="1" printArea="1" showRuler="0" topLeftCell="A33">
      <selection activeCell="D42" sqref="D42"/>
      <pageMargins left="0" right="0" top="0" bottom="0" header="0" footer="0"/>
      <printOptions horizontalCentered="1"/>
      <pageSetup scale="64" orientation="portrait" r:id="rId5"/>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 right="0" top="0" bottom="0" header="0" footer="0"/>
      <printOptions horizontalCentered="1"/>
      <pageSetup scale="66" orientation="portrait" r:id="rId6"/>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 right="0" top="0" bottom="0" header="0" footer="0"/>
      <printOptions horizontalCentered="1"/>
      <pageSetup scale="65" orientation="portrait" r:id="rId7"/>
      <headerFooter alignWithMargins="0">
        <oddHeader>&amp;R&amp;12Page &amp;P of &amp;N</oddHeader>
      </headerFooter>
    </customSheetView>
    <customSheetView guid="{DC91DEF3-837B-4BB9-A81E-3B78C5914E6C}" scale="75" showPageBreaks="1" fitToPage="1" printArea="1" showRuler="0" topLeftCell="A20">
      <selection activeCell="B28" sqref="B28"/>
      <pageMargins left="0" right="0" top="0" bottom="0" header="0" footer="0"/>
      <printOptions horizontalCentered="1"/>
      <pageSetup scale="65" orientation="portrait" r:id="rId8"/>
      <headerFooter alignWithMargins="0">
        <oddHeader>&amp;R&amp;12Page &amp;P of &amp;N</oddHeader>
      </headerFooter>
    </customSheetView>
    <customSheetView guid="{416404B7-8533-4A12-ABD0-58CFDEB49D80}" scale="75" fitToPage="1">
      <selection activeCell="F45" sqref="F45"/>
      <pageMargins left="0" right="0" top="0" bottom="0" header="0" footer="0"/>
      <printOptions horizontalCentered="1"/>
      <pageSetup scale="53" orientation="portrait" r:id="rId9"/>
      <headerFooter alignWithMargins="0"/>
    </customSheetView>
  </customSheetViews>
  <mergeCells count="5">
    <mergeCell ref="B40:D40"/>
    <mergeCell ref="B41:D41"/>
    <mergeCell ref="A4:D4"/>
    <mergeCell ref="A2:D2"/>
    <mergeCell ref="A3:D3"/>
  </mergeCells>
  <phoneticPr fontId="0" type="noConversion"/>
  <printOptions horizontalCentered="1"/>
  <pageMargins left="0.75" right="0.75" top="1" bottom="1" header="0.5" footer="0.5"/>
  <pageSetup scale="62" orientation="landscape" r:id="rId10"/>
  <headerFooter alignWithMargins="0"/>
  <customProperties>
    <customPr name="_pios_id" r:id="rId11"/>
    <customPr name="EpmWorksheetKeyString_GUID" r:id="rId1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U344"/>
  <sheetViews>
    <sheetView showGridLines="0" showWhiteSpace="0" topLeftCell="A266" zoomScale="60" zoomScaleNormal="60" zoomScaleSheetLayoutView="40" zoomScalePageLayoutView="50" workbookViewId="0">
      <selection activeCell="B295" sqref="B295"/>
    </sheetView>
  </sheetViews>
  <sheetFormatPr defaultColWidth="9.28515625" defaultRowHeight="14.25"/>
  <cols>
    <col min="1" max="1" width="6.28515625" style="46" customWidth="1"/>
    <col min="2" max="2" width="6.42578125" style="46" customWidth="1"/>
    <col min="3" max="3" width="63.140625" style="46" customWidth="1"/>
    <col min="4" max="4" width="41.42578125" style="46" customWidth="1"/>
    <col min="5" max="5" width="26.28515625" style="46" customWidth="1"/>
    <col min="6" max="6" width="14.7109375" style="46" customWidth="1"/>
    <col min="7" max="7" width="18.7109375" style="46" customWidth="1"/>
    <col min="8" max="8" width="19.7109375" style="46" customWidth="1"/>
    <col min="9" max="9" width="21.28515625" style="46" customWidth="1"/>
    <col min="10" max="10" width="20.7109375" style="46" customWidth="1"/>
    <col min="11" max="11" width="19" style="46" customWidth="1"/>
    <col min="12" max="12" width="20.42578125" style="46" customWidth="1"/>
    <col min="13" max="13" width="18.28515625" style="46" customWidth="1"/>
    <col min="14" max="14" width="21.7109375" style="46" customWidth="1"/>
    <col min="15" max="15" width="21.42578125" style="46" customWidth="1"/>
    <col min="16" max="16" width="22" style="46" customWidth="1"/>
    <col min="17" max="17" width="20.7109375" style="46" customWidth="1"/>
    <col min="18" max="18" width="21.42578125" style="46" customWidth="1"/>
    <col min="19" max="19" width="21.5703125" style="46" customWidth="1"/>
    <col min="20" max="20" width="20.28515625" style="46" customWidth="1"/>
    <col min="21" max="21" width="19.7109375" style="46" bestFit="1" customWidth="1"/>
    <col min="22" max="16384" width="9.28515625" style="46"/>
  </cols>
  <sheetData>
    <row r="1" spans="1:21" ht="21" customHeight="1">
      <c r="A1" s="711" t="s">
        <v>0</v>
      </c>
      <c r="B1" s="711"/>
      <c r="C1" s="711"/>
      <c r="D1" s="711"/>
      <c r="E1" s="711"/>
      <c r="F1" s="711"/>
      <c r="G1" s="711"/>
      <c r="H1" s="711"/>
      <c r="I1" s="711"/>
      <c r="J1" s="711"/>
      <c r="K1" s="711"/>
      <c r="L1" s="711"/>
      <c r="M1" s="711"/>
      <c r="N1" s="711"/>
      <c r="O1" s="711"/>
      <c r="P1" s="711"/>
      <c r="Q1" s="711"/>
      <c r="R1" s="711"/>
      <c r="S1" s="711"/>
      <c r="T1" s="711"/>
      <c r="U1" s="711"/>
    </row>
    <row r="2" spans="1:21" ht="21" customHeight="1">
      <c r="A2" s="711" t="str">
        <f>+'Appendix A'!A4</f>
        <v xml:space="preserve">ATTACHMENT H-15A </v>
      </c>
      <c r="B2" s="711"/>
      <c r="C2" s="711"/>
      <c r="D2" s="711"/>
      <c r="E2" s="711"/>
      <c r="F2" s="711"/>
      <c r="G2" s="711"/>
      <c r="H2" s="711"/>
      <c r="I2" s="711"/>
      <c r="J2" s="711"/>
      <c r="K2" s="711"/>
      <c r="L2" s="711"/>
      <c r="M2" s="711"/>
      <c r="N2" s="711"/>
      <c r="O2" s="711"/>
      <c r="P2" s="711"/>
      <c r="Q2" s="711"/>
      <c r="R2" s="711"/>
      <c r="S2" s="711"/>
      <c r="T2" s="711"/>
      <c r="U2" s="711"/>
    </row>
    <row r="3" spans="1:21" ht="21" customHeight="1">
      <c r="A3" s="711" t="s">
        <v>1011</v>
      </c>
      <c r="B3" s="711"/>
      <c r="C3" s="711"/>
      <c r="D3" s="711"/>
      <c r="E3" s="711"/>
      <c r="F3" s="711"/>
      <c r="G3" s="711"/>
      <c r="H3" s="711"/>
      <c r="I3" s="711"/>
      <c r="J3" s="711"/>
      <c r="K3" s="711"/>
      <c r="L3" s="711"/>
      <c r="M3" s="711"/>
      <c r="N3" s="711"/>
      <c r="O3" s="711"/>
      <c r="P3" s="711"/>
      <c r="Q3" s="711"/>
      <c r="R3" s="711"/>
      <c r="S3" s="711"/>
      <c r="T3" s="711"/>
      <c r="U3" s="711"/>
    </row>
    <row r="4" spans="1:21" ht="51.6" customHeight="1">
      <c r="A4" s="46" t="s">
        <v>366</v>
      </c>
      <c r="B4" s="44"/>
      <c r="C4" s="44"/>
      <c r="D4" s="44"/>
      <c r="E4" s="44"/>
      <c r="F4" s="44"/>
      <c r="G4" s="44"/>
      <c r="H4" s="44"/>
      <c r="I4" s="44"/>
      <c r="J4" s="44"/>
      <c r="K4" s="44"/>
      <c r="L4" s="44"/>
      <c r="M4" s="44"/>
      <c r="N4" s="44"/>
      <c r="O4" s="44"/>
      <c r="P4" s="44"/>
      <c r="Q4" s="44"/>
      <c r="U4" s="24"/>
    </row>
    <row r="5" spans="1:21" ht="21" customHeight="1">
      <c r="A5" s="187"/>
      <c r="G5" s="188"/>
      <c r="H5" s="188"/>
      <c r="I5" s="188"/>
      <c r="J5" s="188"/>
      <c r="K5" s="189"/>
      <c r="L5" s="188"/>
      <c r="M5" s="188"/>
      <c r="N5" s="188"/>
      <c r="O5" s="190"/>
      <c r="Q5" s="188"/>
      <c r="U5" s="132"/>
    </row>
    <row r="6" spans="1:21" ht="15.75" thickBot="1">
      <c r="A6" s="116" t="s">
        <v>442</v>
      </c>
      <c r="B6" s="115"/>
      <c r="E6" s="188"/>
      <c r="F6" s="188"/>
      <c r="G6" s="191" t="s">
        <v>443</v>
      </c>
      <c r="H6" s="734" t="s">
        <v>318</v>
      </c>
      <c r="I6" s="734"/>
      <c r="J6" s="734"/>
      <c r="K6" s="734"/>
      <c r="L6" s="734"/>
      <c r="M6" s="734"/>
      <c r="N6" s="734"/>
      <c r="O6" s="734"/>
      <c r="P6" s="734"/>
      <c r="Q6" s="734"/>
      <c r="R6" s="734"/>
      <c r="S6" s="735"/>
    </row>
    <row r="7" spans="1:21" ht="32.1" customHeight="1" thickBot="1">
      <c r="A7" s="164" t="s">
        <v>444</v>
      </c>
      <c r="B7" s="165" t="s">
        <v>445</v>
      </c>
      <c r="C7" s="165"/>
      <c r="D7" s="165"/>
      <c r="E7" s="192" t="s">
        <v>446</v>
      </c>
      <c r="F7" s="166" t="s">
        <v>447</v>
      </c>
      <c r="G7" s="51" t="s">
        <v>448</v>
      </c>
      <c r="H7" s="193" t="s">
        <v>449</v>
      </c>
      <c r="I7" s="193" t="s">
        <v>450</v>
      </c>
      <c r="J7" s="193" t="s">
        <v>451</v>
      </c>
      <c r="K7" s="193" t="s">
        <v>452</v>
      </c>
      <c r="L7" s="193" t="s">
        <v>335</v>
      </c>
      <c r="M7" s="193" t="s">
        <v>453</v>
      </c>
      <c r="N7" s="193" t="s">
        <v>454</v>
      </c>
      <c r="O7" s="193" t="s">
        <v>455</v>
      </c>
      <c r="P7" s="193" t="s">
        <v>456</v>
      </c>
      <c r="Q7" s="193" t="s">
        <v>457</v>
      </c>
      <c r="R7" s="193" t="s">
        <v>458</v>
      </c>
      <c r="S7" s="51" t="s">
        <v>459</v>
      </c>
      <c r="T7" s="166" t="s">
        <v>460</v>
      </c>
      <c r="U7" s="194" t="s">
        <v>461</v>
      </c>
    </row>
    <row r="8" spans="1:21" ht="15">
      <c r="A8" s="169"/>
      <c r="B8" s="170" t="s">
        <v>13</v>
      </c>
      <c r="C8" s="171"/>
      <c r="D8" s="171"/>
      <c r="E8" s="171"/>
      <c r="F8" s="171"/>
      <c r="H8" s="195"/>
      <c r="I8" s="195"/>
      <c r="J8" s="195"/>
      <c r="K8" s="195"/>
      <c r="L8" s="195"/>
      <c r="M8" s="195"/>
      <c r="N8" s="195"/>
      <c r="O8" s="195"/>
      <c r="P8" s="195"/>
      <c r="Q8" s="195"/>
      <c r="R8" s="195"/>
      <c r="S8" s="122"/>
      <c r="T8" s="196"/>
      <c r="U8" s="173"/>
    </row>
    <row r="9" spans="1:21" ht="15">
      <c r="A9" s="175">
        <v>1</v>
      </c>
      <c r="B9" s="132"/>
      <c r="C9" s="46" t="s">
        <v>462</v>
      </c>
      <c r="E9" s="197" t="s">
        <v>975</v>
      </c>
      <c r="F9" s="133"/>
      <c r="G9" s="198">
        <v>2367465242.5050001</v>
      </c>
      <c r="H9" s="198">
        <v>2373879506</v>
      </c>
      <c r="I9" s="198">
        <v>2388192029</v>
      </c>
      <c r="J9" s="198">
        <v>2407810833</v>
      </c>
      <c r="K9" s="198">
        <v>2416846272</v>
      </c>
      <c r="L9" s="198">
        <v>2425744107</v>
      </c>
      <c r="M9" s="198">
        <v>2420398907</v>
      </c>
      <c r="N9" s="198">
        <v>2430760744</v>
      </c>
      <c r="O9" s="198">
        <v>2442254781</v>
      </c>
      <c r="P9" s="198">
        <v>2446260750</v>
      </c>
      <c r="Q9" s="198">
        <v>2458506259</v>
      </c>
      <c r="R9" s="198">
        <v>2466954805</v>
      </c>
      <c r="S9" s="198">
        <v>2474461812</v>
      </c>
      <c r="T9" s="199">
        <f>AVERAGE(G9:S9)</f>
        <v>2424579695.9619231</v>
      </c>
      <c r="U9" s="200">
        <v>0</v>
      </c>
    </row>
    <row r="10" spans="1:21" ht="15">
      <c r="A10" s="175">
        <f>+A9+1</f>
        <v>2</v>
      </c>
      <c r="B10" s="132"/>
      <c r="C10" s="46" t="s">
        <v>463</v>
      </c>
      <c r="E10" s="46" t="s">
        <v>464</v>
      </c>
      <c r="G10" s="198">
        <v>0</v>
      </c>
      <c r="H10" s="198">
        <v>0</v>
      </c>
      <c r="I10" s="198">
        <v>0</v>
      </c>
      <c r="J10" s="198">
        <v>0</v>
      </c>
      <c r="K10" s="198">
        <v>0</v>
      </c>
      <c r="L10" s="198">
        <v>0</v>
      </c>
      <c r="M10" s="198">
        <v>0</v>
      </c>
      <c r="N10" s="198">
        <v>0</v>
      </c>
      <c r="O10" s="198">
        <v>0</v>
      </c>
      <c r="P10" s="198">
        <v>0</v>
      </c>
      <c r="Q10" s="198">
        <v>0</v>
      </c>
      <c r="R10" s="198">
        <v>0</v>
      </c>
      <c r="S10" s="198">
        <v>0</v>
      </c>
      <c r="T10" s="199">
        <f t="shared" ref="T10:T14" si="0">AVERAGE(G10:S10)</f>
        <v>0</v>
      </c>
      <c r="U10" s="200">
        <v>0</v>
      </c>
    </row>
    <row r="11" spans="1:21" ht="15">
      <c r="A11" s="175">
        <f t="shared" ref="A11:A14" si="1">+A10+1</f>
        <v>3</v>
      </c>
      <c r="B11" s="132"/>
      <c r="C11" s="46" t="s">
        <v>15</v>
      </c>
      <c r="E11" s="197" t="s">
        <v>981</v>
      </c>
      <c r="F11" s="133"/>
      <c r="G11" s="198">
        <v>-1156341626</v>
      </c>
      <c r="H11" s="198">
        <v>-1158990398</v>
      </c>
      <c r="I11" s="198">
        <v>-1160902993</v>
      </c>
      <c r="J11" s="198">
        <v>-1162163757</v>
      </c>
      <c r="K11" s="198">
        <v>-1165927533</v>
      </c>
      <c r="L11" s="198">
        <v>-1169898218</v>
      </c>
      <c r="M11" s="198">
        <v>-1157911464</v>
      </c>
      <c r="N11" s="198">
        <v>-1159622325</v>
      </c>
      <c r="O11" s="198">
        <v>-1160031197</v>
      </c>
      <c r="P11" s="198">
        <v>-1163677757</v>
      </c>
      <c r="Q11" s="198">
        <v>-1166416794</v>
      </c>
      <c r="R11" s="198">
        <v>-1169720603</v>
      </c>
      <c r="S11" s="198">
        <v>-1170990842</v>
      </c>
      <c r="T11" s="199">
        <f t="shared" si="0"/>
        <v>-1163276577.4615386</v>
      </c>
      <c r="U11" s="200">
        <v>0</v>
      </c>
    </row>
    <row r="12" spans="1:21" ht="15" customHeight="1">
      <c r="A12" s="175">
        <f t="shared" si="1"/>
        <v>4</v>
      </c>
      <c r="C12" s="133" t="s">
        <v>34</v>
      </c>
      <c r="E12" s="46" t="s">
        <v>959</v>
      </c>
      <c r="G12" s="198">
        <v>-25620287.57</v>
      </c>
      <c r="H12" s="198">
        <v>-25866073.530000001</v>
      </c>
      <c r="I12" s="198">
        <v>-26117746.170000002</v>
      </c>
      <c r="J12" s="198">
        <v>-25613936.09</v>
      </c>
      <c r="K12" s="198">
        <v>-25865671.82</v>
      </c>
      <c r="L12" s="198">
        <v>-26135478.609999999</v>
      </c>
      <c r="M12" s="198">
        <v>-26406806</v>
      </c>
      <c r="N12" s="198">
        <v>-26676078.510000002</v>
      </c>
      <c r="O12" s="198">
        <v>-26950494.039999999</v>
      </c>
      <c r="P12" s="198">
        <v>-27230737.449999999</v>
      </c>
      <c r="Q12" s="198">
        <v>-27510980.859999999</v>
      </c>
      <c r="R12" s="198">
        <v>-27791224.27</v>
      </c>
      <c r="S12" s="198">
        <v>-28075883.690000001</v>
      </c>
      <c r="T12" s="199">
        <f t="shared" si="0"/>
        <v>-26604722.969999995</v>
      </c>
      <c r="U12" s="200">
        <v>0</v>
      </c>
    </row>
    <row r="13" spans="1:21">
      <c r="A13" s="175">
        <f t="shared" si="1"/>
        <v>5</v>
      </c>
      <c r="C13" s="133" t="s">
        <v>465</v>
      </c>
      <c r="E13" s="46" t="s">
        <v>464</v>
      </c>
      <c r="G13" s="198">
        <v>0</v>
      </c>
      <c r="H13" s="198">
        <v>0</v>
      </c>
      <c r="I13" s="198">
        <v>0</v>
      </c>
      <c r="J13" s="198">
        <v>0</v>
      </c>
      <c r="K13" s="198">
        <v>0</v>
      </c>
      <c r="L13" s="198">
        <v>0</v>
      </c>
      <c r="M13" s="198">
        <v>0</v>
      </c>
      <c r="N13" s="198">
        <v>0</v>
      </c>
      <c r="O13" s="198">
        <v>0</v>
      </c>
      <c r="P13" s="198">
        <v>0</v>
      </c>
      <c r="Q13" s="198">
        <v>0</v>
      </c>
      <c r="R13" s="198">
        <v>0</v>
      </c>
      <c r="S13" s="198">
        <v>0</v>
      </c>
      <c r="T13" s="199">
        <f t="shared" si="0"/>
        <v>0</v>
      </c>
      <c r="U13" s="200">
        <v>0</v>
      </c>
    </row>
    <row r="14" spans="1:21">
      <c r="A14" s="175">
        <f t="shared" si="1"/>
        <v>6</v>
      </c>
      <c r="C14" s="133" t="s">
        <v>466</v>
      </c>
      <c r="E14" s="46" t="s">
        <v>464</v>
      </c>
      <c r="G14" s="198">
        <v>0</v>
      </c>
      <c r="H14" s="198">
        <v>0</v>
      </c>
      <c r="I14" s="198">
        <v>0</v>
      </c>
      <c r="J14" s="198">
        <v>0</v>
      </c>
      <c r="K14" s="198">
        <v>0</v>
      </c>
      <c r="L14" s="198">
        <v>0</v>
      </c>
      <c r="M14" s="198">
        <v>0</v>
      </c>
      <c r="N14" s="198">
        <v>0</v>
      </c>
      <c r="O14" s="198">
        <v>0</v>
      </c>
      <c r="P14" s="198">
        <v>0</v>
      </c>
      <c r="Q14" s="198">
        <v>0</v>
      </c>
      <c r="R14" s="198">
        <v>0</v>
      </c>
      <c r="S14" s="198">
        <v>0</v>
      </c>
      <c r="T14" s="199">
        <f t="shared" si="0"/>
        <v>0</v>
      </c>
      <c r="U14" s="200">
        <v>0</v>
      </c>
    </row>
    <row r="15" spans="1:21" ht="15">
      <c r="A15" s="175"/>
      <c r="B15" s="132"/>
      <c r="E15" s="201"/>
      <c r="F15" s="201"/>
      <c r="G15" s="198"/>
      <c r="H15" s="198"/>
      <c r="I15" s="198"/>
      <c r="J15" s="198"/>
      <c r="K15" s="198"/>
      <c r="L15" s="198"/>
      <c r="M15" s="198"/>
      <c r="N15" s="198"/>
      <c r="O15" s="198"/>
      <c r="P15" s="198"/>
      <c r="Q15" s="198"/>
      <c r="R15" s="198"/>
      <c r="S15" s="198"/>
      <c r="T15" s="199"/>
      <c r="U15" s="202"/>
    </row>
    <row r="16" spans="1:21" ht="15">
      <c r="A16" s="175"/>
      <c r="B16" s="132" t="s">
        <v>22</v>
      </c>
      <c r="E16" s="201"/>
      <c r="F16" s="201"/>
      <c r="G16" s="198"/>
      <c r="H16" s="198"/>
      <c r="I16" s="198"/>
      <c r="J16" s="198"/>
      <c r="K16" s="198"/>
      <c r="L16" s="198"/>
      <c r="M16" s="198"/>
      <c r="N16" s="198"/>
      <c r="O16" s="198"/>
      <c r="P16" s="198"/>
      <c r="Q16" s="198"/>
      <c r="R16" s="198"/>
      <c r="S16" s="198"/>
      <c r="T16" s="199"/>
      <c r="U16" s="202"/>
    </row>
    <row r="17" spans="1:21" ht="15">
      <c r="A17" s="175">
        <f>+A14+1</f>
        <v>7</v>
      </c>
      <c r="B17" s="132"/>
      <c r="C17" s="46" t="s">
        <v>467</v>
      </c>
      <c r="E17" s="203" t="s">
        <v>976</v>
      </c>
      <c r="F17" s="204" t="s">
        <v>468</v>
      </c>
      <c r="G17" s="205">
        <v>416764484</v>
      </c>
      <c r="H17" s="205">
        <v>417981383</v>
      </c>
      <c r="I17" s="205">
        <v>426305611</v>
      </c>
      <c r="J17" s="205">
        <v>427295437.60000002</v>
      </c>
      <c r="K17" s="205">
        <v>429064694</v>
      </c>
      <c r="L17" s="205">
        <v>430230993</v>
      </c>
      <c r="M17" s="205">
        <v>433556894</v>
      </c>
      <c r="N17" s="205">
        <v>436976151</v>
      </c>
      <c r="O17" s="205">
        <v>439300592</v>
      </c>
      <c r="P17" s="205">
        <v>440131529</v>
      </c>
      <c r="Q17" s="205">
        <v>446349553</v>
      </c>
      <c r="R17" s="205">
        <v>450300826</v>
      </c>
      <c r="S17" s="205">
        <v>451132036</v>
      </c>
      <c r="T17" s="199">
        <f>AVERAGE(G17:S17)</f>
        <v>434260783.35384619</v>
      </c>
      <c r="U17" s="200">
        <v>0</v>
      </c>
    </row>
    <row r="18" spans="1:21" ht="15">
      <c r="A18" s="175">
        <f>+A17+1</f>
        <v>8</v>
      </c>
      <c r="B18" s="132"/>
      <c r="C18" s="46" t="s">
        <v>469</v>
      </c>
      <c r="E18" s="206" t="s">
        <v>977</v>
      </c>
      <c r="F18" s="207" t="s">
        <v>470</v>
      </c>
      <c r="G18" s="198">
        <v>31743875.640000001</v>
      </c>
      <c r="H18" s="198">
        <v>31743876</v>
      </c>
      <c r="I18" s="198">
        <v>31743876</v>
      </c>
      <c r="J18" s="198">
        <v>31743876</v>
      </c>
      <c r="K18" s="198">
        <v>31743876</v>
      </c>
      <c r="L18" s="198">
        <v>31743876</v>
      </c>
      <c r="M18" s="198">
        <v>30967618</v>
      </c>
      <c r="N18" s="198">
        <v>30967618</v>
      </c>
      <c r="O18" s="198">
        <v>30912649</v>
      </c>
      <c r="P18" s="198">
        <v>31355875</v>
      </c>
      <c r="Q18" s="198">
        <v>31355875</v>
      </c>
      <c r="R18" s="198">
        <v>31355875</v>
      </c>
      <c r="S18" s="198">
        <v>31355882</v>
      </c>
      <c r="T18" s="199">
        <f t="shared" ref="T18:T20" si="2">AVERAGE(G18:S18)</f>
        <v>31441126.741538461</v>
      </c>
      <c r="U18" s="200">
        <v>0</v>
      </c>
    </row>
    <row r="19" spans="1:21" ht="15">
      <c r="A19" s="175">
        <f t="shared" ref="A19:A20" si="3">+A18+1</f>
        <v>9</v>
      </c>
      <c r="B19" s="132"/>
      <c r="C19" s="46" t="s">
        <v>25</v>
      </c>
      <c r="E19" s="206" t="s">
        <v>978</v>
      </c>
      <c r="F19" s="207" t="s">
        <v>471</v>
      </c>
      <c r="G19" s="198">
        <v>36862412.890000001</v>
      </c>
      <c r="H19" s="198">
        <v>36491475</v>
      </c>
      <c r="I19" s="198">
        <v>36695432</v>
      </c>
      <c r="J19" s="198">
        <v>36496720</v>
      </c>
      <c r="K19" s="198">
        <v>38014234</v>
      </c>
      <c r="L19" s="198">
        <v>38098787</v>
      </c>
      <c r="M19" s="198">
        <v>38084402</v>
      </c>
      <c r="N19" s="198">
        <v>38401248</v>
      </c>
      <c r="O19" s="198">
        <v>38890643</v>
      </c>
      <c r="P19" s="198">
        <v>38890643</v>
      </c>
      <c r="Q19" s="198">
        <v>38890643</v>
      </c>
      <c r="R19" s="198">
        <v>39261477</v>
      </c>
      <c r="S19" s="198">
        <v>39293683</v>
      </c>
      <c r="T19" s="199">
        <f t="shared" si="2"/>
        <v>38028599.991538458</v>
      </c>
      <c r="U19" s="200">
        <v>0</v>
      </c>
    </row>
    <row r="20" spans="1:21" ht="15">
      <c r="A20" s="175">
        <f t="shared" si="3"/>
        <v>10</v>
      </c>
      <c r="B20" s="132"/>
      <c r="C20" s="46" t="s">
        <v>463</v>
      </c>
      <c r="E20" s="46" t="s">
        <v>464</v>
      </c>
      <c r="F20" s="207"/>
      <c r="G20" s="198">
        <v>0</v>
      </c>
      <c r="H20" s="198">
        <v>0</v>
      </c>
      <c r="I20" s="198">
        <v>0</v>
      </c>
      <c r="J20" s="198">
        <v>0</v>
      </c>
      <c r="K20" s="198">
        <v>0</v>
      </c>
      <c r="L20" s="198">
        <v>0</v>
      </c>
      <c r="M20" s="198">
        <v>0</v>
      </c>
      <c r="N20" s="198">
        <v>0</v>
      </c>
      <c r="O20" s="198">
        <v>0</v>
      </c>
      <c r="P20" s="198">
        <v>0</v>
      </c>
      <c r="Q20" s="198">
        <v>0</v>
      </c>
      <c r="R20" s="198">
        <v>0</v>
      </c>
      <c r="S20" s="198">
        <v>0</v>
      </c>
      <c r="T20" s="199">
        <f t="shared" si="2"/>
        <v>0</v>
      </c>
      <c r="U20" s="200">
        <v>0</v>
      </c>
    </row>
    <row r="21" spans="1:21">
      <c r="A21" s="175"/>
      <c r="B21" s="115"/>
      <c r="C21" s="133"/>
      <c r="E21" s="122"/>
      <c r="F21" s="204"/>
      <c r="G21" s="198"/>
      <c r="H21" s="198"/>
      <c r="I21" s="198"/>
      <c r="J21" s="198"/>
      <c r="K21" s="198"/>
      <c r="L21" s="198"/>
      <c r="M21" s="198"/>
      <c r="N21" s="198"/>
      <c r="O21" s="198"/>
      <c r="P21" s="198"/>
      <c r="Q21" s="198"/>
      <c r="R21" s="198"/>
      <c r="S21" s="198"/>
      <c r="T21" s="199"/>
      <c r="U21" s="200"/>
    </row>
    <row r="22" spans="1:21" ht="15">
      <c r="A22" s="175"/>
      <c r="B22" s="132" t="s">
        <v>31</v>
      </c>
      <c r="E22" s="201"/>
      <c r="F22" s="208"/>
      <c r="G22" s="198"/>
      <c r="H22" s="198"/>
      <c r="I22" s="198"/>
      <c r="J22" s="198"/>
      <c r="K22" s="198"/>
      <c r="L22" s="198"/>
      <c r="M22" s="198"/>
      <c r="N22" s="198"/>
      <c r="O22" s="198"/>
      <c r="P22" s="198"/>
      <c r="Q22" s="198"/>
      <c r="R22" s="198"/>
      <c r="S22" s="198"/>
      <c r="T22" s="199"/>
      <c r="U22" s="202"/>
    </row>
    <row r="23" spans="1:21">
      <c r="A23" s="175">
        <f>+A20+1</f>
        <v>11</v>
      </c>
      <c r="B23" s="115"/>
      <c r="C23" s="46" t="s">
        <v>32</v>
      </c>
      <c r="E23" s="197" t="s">
        <v>979</v>
      </c>
      <c r="F23" s="207">
        <v>108</v>
      </c>
      <c r="G23" s="198">
        <v>-231866604</v>
      </c>
      <c r="H23" s="198">
        <v>-232625341</v>
      </c>
      <c r="I23" s="198">
        <v>-233384757</v>
      </c>
      <c r="J23" s="198">
        <v>-234126658</v>
      </c>
      <c r="K23" s="198">
        <v>-234714440</v>
      </c>
      <c r="L23" s="198">
        <v>-235373598</v>
      </c>
      <c r="M23" s="198">
        <v>-234437584</v>
      </c>
      <c r="N23" s="198">
        <v>-238187445</v>
      </c>
      <c r="O23" s="198">
        <v>-238164166</v>
      </c>
      <c r="P23" s="198">
        <v>-234971571</v>
      </c>
      <c r="Q23" s="198">
        <v>-237022664</v>
      </c>
      <c r="R23" s="198">
        <v>-241750545</v>
      </c>
      <c r="S23" s="198">
        <v>-239238501</v>
      </c>
      <c r="T23" s="199">
        <f t="shared" ref="T23:T25" si="4">AVERAGE(G23:S23)</f>
        <v>-235835682.61538461</v>
      </c>
      <c r="U23" s="200">
        <v>0</v>
      </c>
    </row>
    <row r="24" spans="1:21">
      <c r="A24" s="175">
        <f>+A23+1</f>
        <v>12</v>
      </c>
      <c r="B24" s="115"/>
      <c r="C24" s="46" t="s">
        <v>33</v>
      </c>
      <c r="D24" s="115"/>
      <c r="E24" s="197" t="s">
        <v>980</v>
      </c>
      <c r="F24" s="207">
        <v>108</v>
      </c>
      <c r="G24" s="198">
        <v>-18877541</v>
      </c>
      <c r="H24" s="198">
        <v>-18968569</v>
      </c>
      <c r="I24" s="198">
        <v>-19059597</v>
      </c>
      <c r="J24" s="198">
        <v>-19150624</v>
      </c>
      <c r="K24" s="198">
        <v>-19241652</v>
      </c>
      <c r="L24" s="198">
        <v>-19332679</v>
      </c>
      <c r="M24" s="198">
        <v>-18598422</v>
      </c>
      <c r="N24" s="198">
        <v>-18573935</v>
      </c>
      <c r="O24" s="198">
        <v>-18506646</v>
      </c>
      <c r="P24" s="198">
        <v>-18957338</v>
      </c>
      <c r="Q24" s="198">
        <v>-18937013</v>
      </c>
      <c r="R24" s="198">
        <v>-18940062</v>
      </c>
      <c r="S24" s="198">
        <v>-18810052</v>
      </c>
      <c r="T24" s="199">
        <f t="shared" si="4"/>
        <v>-18919548.46153846</v>
      </c>
      <c r="U24" s="200">
        <v>0</v>
      </c>
    </row>
    <row r="25" spans="1:21" ht="15.75" thickBot="1">
      <c r="A25" s="182">
        <f>+A24+1</f>
        <v>13</v>
      </c>
      <c r="B25" s="183"/>
      <c r="C25" s="184" t="s">
        <v>472</v>
      </c>
      <c r="D25" s="184"/>
      <c r="E25" s="184" t="s">
        <v>464</v>
      </c>
      <c r="F25" s="209">
        <v>111</v>
      </c>
      <c r="G25" s="210">
        <v>0</v>
      </c>
      <c r="H25" s="210">
        <v>0</v>
      </c>
      <c r="I25" s="210">
        <v>0</v>
      </c>
      <c r="J25" s="210">
        <v>0</v>
      </c>
      <c r="K25" s="210">
        <v>0</v>
      </c>
      <c r="L25" s="210">
        <v>0</v>
      </c>
      <c r="M25" s="210">
        <v>0</v>
      </c>
      <c r="N25" s="210">
        <v>0</v>
      </c>
      <c r="O25" s="210">
        <v>0</v>
      </c>
      <c r="P25" s="210">
        <v>0</v>
      </c>
      <c r="Q25" s="210">
        <v>0</v>
      </c>
      <c r="R25" s="210">
        <v>0</v>
      </c>
      <c r="S25" s="210">
        <v>0</v>
      </c>
      <c r="T25" s="211">
        <f t="shared" si="4"/>
        <v>0</v>
      </c>
      <c r="U25" s="212">
        <v>0</v>
      </c>
    </row>
    <row r="26" spans="1:21" ht="15">
      <c r="A26" s="115"/>
      <c r="B26" s="116"/>
      <c r="C26" s="133"/>
      <c r="G26" s="213"/>
      <c r="H26" s="213"/>
      <c r="I26" s="213"/>
      <c r="J26" s="213"/>
      <c r="K26" s="213"/>
      <c r="L26" s="213"/>
      <c r="M26" s="213"/>
      <c r="N26" s="213"/>
      <c r="O26" s="213"/>
      <c r="P26" s="213"/>
      <c r="Q26" s="213"/>
      <c r="R26" s="213"/>
      <c r="S26" s="213"/>
      <c r="T26" s="213"/>
      <c r="U26" s="158"/>
    </row>
    <row r="27" spans="1:21" ht="15">
      <c r="A27" s="115"/>
      <c r="B27" s="116"/>
      <c r="C27" s="133"/>
      <c r="G27" s="213"/>
      <c r="H27" s="213"/>
      <c r="I27" s="213"/>
      <c r="J27" s="213"/>
      <c r="K27" s="213"/>
      <c r="L27" s="213"/>
      <c r="M27" s="213"/>
      <c r="N27" s="213"/>
      <c r="O27" s="213"/>
      <c r="P27" s="213"/>
      <c r="Q27" s="213"/>
      <c r="R27" s="213"/>
      <c r="S27" s="214"/>
      <c r="U27" s="158"/>
    </row>
    <row r="28" spans="1:21" ht="15.75" thickBot="1">
      <c r="A28" s="116" t="s">
        <v>473</v>
      </c>
      <c r="C28" s="133"/>
      <c r="G28" s="215"/>
      <c r="H28" s="215"/>
      <c r="I28" s="215"/>
      <c r="J28" s="215"/>
      <c r="K28" s="215"/>
      <c r="L28" s="215"/>
      <c r="M28" s="215"/>
      <c r="N28" s="215"/>
      <c r="O28" s="213"/>
      <c r="P28" s="213"/>
      <c r="Q28" s="215"/>
      <c r="R28" s="215"/>
      <c r="S28" s="215"/>
      <c r="T28" s="215"/>
      <c r="U28" s="151"/>
    </row>
    <row r="29" spans="1:21" ht="30.75" thickBot="1">
      <c r="A29" s="216" t="s">
        <v>444</v>
      </c>
      <c r="B29" s="217" t="s">
        <v>445</v>
      </c>
      <c r="C29" s="217"/>
      <c r="D29" s="217"/>
      <c r="E29" s="218" t="s">
        <v>446</v>
      </c>
      <c r="F29" s="219" t="s">
        <v>447</v>
      </c>
      <c r="G29" s="220"/>
      <c r="H29" s="220"/>
      <c r="I29" s="220"/>
      <c r="J29" s="220"/>
      <c r="K29" s="220"/>
      <c r="L29" s="220"/>
      <c r="M29" s="220"/>
      <c r="N29" s="220"/>
      <c r="O29" s="220"/>
      <c r="P29" s="220"/>
      <c r="Q29" s="220"/>
      <c r="R29" s="220"/>
      <c r="S29" s="220"/>
      <c r="T29" s="51" t="s">
        <v>474</v>
      </c>
      <c r="U29" s="221"/>
    </row>
    <row r="30" spans="1:21" ht="15">
      <c r="A30" s="222"/>
      <c r="B30" s="132"/>
      <c r="C30" s="132"/>
      <c r="D30" s="132"/>
      <c r="E30" s="223"/>
      <c r="F30" s="223"/>
      <c r="T30" s="44"/>
      <c r="U30" s="224"/>
    </row>
    <row r="31" spans="1:21" ht="15">
      <c r="A31" s="175">
        <f>+A25+1</f>
        <v>14</v>
      </c>
      <c r="B31" s="116"/>
      <c r="C31" s="133" t="s">
        <v>475</v>
      </c>
      <c r="D31" s="116"/>
      <c r="E31" s="46" t="s">
        <v>956</v>
      </c>
      <c r="G31" s="115"/>
      <c r="T31" s="225">
        <v>36691634</v>
      </c>
      <c r="U31" s="224"/>
    </row>
    <row r="32" spans="1:21" ht="15">
      <c r="A32" s="175">
        <f>+A31+1</f>
        <v>15</v>
      </c>
      <c r="B32" s="116"/>
      <c r="C32" s="133" t="s">
        <v>476</v>
      </c>
      <c r="D32" s="116"/>
      <c r="E32" s="46" t="s">
        <v>957</v>
      </c>
      <c r="T32" s="225">
        <v>3688542</v>
      </c>
      <c r="U32" s="224"/>
    </row>
    <row r="33" spans="1:21">
      <c r="A33" s="175">
        <f>+A32+1</f>
        <v>16</v>
      </c>
      <c r="C33" s="133" t="s">
        <v>477</v>
      </c>
      <c r="E33" s="46" t="s">
        <v>958</v>
      </c>
      <c r="T33" s="225">
        <v>5245554</v>
      </c>
      <c r="U33" s="224"/>
    </row>
    <row r="34" spans="1:21" ht="15" thickBot="1">
      <c r="A34" s="182"/>
      <c r="B34" s="184"/>
      <c r="C34" s="226"/>
      <c r="D34" s="184"/>
      <c r="E34" s="184"/>
      <c r="F34" s="184"/>
      <c r="G34" s="227"/>
      <c r="H34" s="184"/>
      <c r="I34" s="184"/>
      <c r="J34" s="184"/>
      <c r="K34" s="184"/>
      <c r="L34" s="184"/>
      <c r="M34" s="184"/>
      <c r="N34" s="184"/>
      <c r="O34" s="184"/>
      <c r="P34" s="184"/>
      <c r="Q34" s="184"/>
      <c r="R34" s="184"/>
      <c r="S34" s="184"/>
      <c r="T34" s="184"/>
      <c r="U34" s="228"/>
    </row>
    <row r="35" spans="1:21">
      <c r="A35" s="115"/>
      <c r="C35" s="133"/>
      <c r="G35" s="117"/>
      <c r="H35" s="117"/>
      <c r="I35" s="117"/>
      <c r="J35" s="117"/>
      <c r="K35" s="117"/>
      <c r="L35" s="117"/>
      <c r="M35" s="117"/>
      <c r="N35" s="117"/>
      <c r="O35" s="117"/>
      <c r="P35" s="117"/>
      <c r="Q35" s="117"/>
      <c r="R35" s="117"/>
      <c r="S35" s="117"/>
      <c r="T35" s="117"/>
    </row>
    <row r="36" spans="1:21">
      <c r="A36" s="115"/>
      <c r="C36" s="133"/>
      <c r="G36" s="117"/>
      <c r="H36" s="117"/>
      <c r="I36" s="117"/>
      <c r="J36" s="117"/>
      <c r="K36" s="117"/>
      <c r="L36" s="117"/>
      <c r="M36" s="117"/>
      <c r="N36" s="117"/>
      <c r="O36" s="117"/>
      <c r="P36" s="117"/>
      <c r="Q36" s="117"/>
      <c r="R36" s="117"/>
      <c r="S36" s="117"/>
      <c r="T36" s="117"/>
    </row>
    <row r="37" spans="1:21" ht="15.75" thickBot="1">
      <c r="A37" s="116" t="s">
        <v>478</v>
      </c>
      <c r="G37" s="215"/>
    </row>
    <row r="38" spans="1:21" ht="30.75" thickBot="1">
      <c r="A38" s="216" t="s">
        <v>444</v>
      </c>
      <c r="B38" s="217" t="s">
        <v>445</v>
      </c>
      <c r="C38" s="217"/>
      <c r="D38" s="217"/>
      <c r="E38" s="218" t="s">
        <v>446</v>
      </c>
      <c r="F38" s="219" t="s">
        <v>447</v>
      </c>
      <c r="G38" s="220"/>
      <c r="H38" s="220"/>
      <c r="I38" s="220"/>
      <c r="J38" s="220"/>
      <c r="K38" s="220"/>
      <c r="L38" s="220"/>
      <c r="M38" s="220"/>
      <c r="N38" s="220"/>
      <c r="O38" s="220"/>
      <c r="P38" s="220"/>
      <c r="Q38" s="220"/>
      <c r="R38" s="219" t="s">
        <v>479</v>
      </c>
      <c r="S38" s="51" t="s">
        <v>474</v>
      </c>
      <c r="T38" s="219" t="s">
        <v>460</v>
      </c>
      <c r="U38" s="221"/>
    </row>
    <row r="39" spans="1:21" ht="15">
      <c r="A39" s="222"/>
      <c r="B39" s="132"/>
      <c r="C39" s="132"/>
      <c r="D39" s="132"/>
      <c r="E39" s="223"/>
      <c r="F39" s="223"/>
      <c r="Q39" s="117"/>
      <c r="R39" s="117"/>
      <c r="S39" s="117"/>
      <c r="T39" s="53"/>
      <c r="U39" s="224"/>
    </row>
    <row r="40" spans="1:21" ht="15">
      <c r="A40" s="175">
        <f>+A33+1</f>
        <v>17</v>
      </c>
      <c r="B40" s="115"/>
      <c r="C40" s="229" t="s">
        <v>224</v>
      </c>
      <c r="E40" s="197" t="s">
        <v>982</v>
      </c>
      <c r="F40" s="207">
        <v>105</v>
      </c>
      <c r="G40" s="115"/>
      <c r="Q40" s="117"/>
      <c r="R40" s="198">
        <v>42369</v>
      </c>
      <c r="S40" s="198">
        <v>42369</v>
      </c>
      <c r="T40" s="98">
        <f>+SUM(R40:S40)/2</f>
        <v>42369</v>
      </c>
      <c r="U40" s="224"/>
    </row>
    <row r="41" spans="1:21" ht="15.75" thickBot="1">
      <c r="A41" s="182"/>
      <c r="B41" s="185"/>
      <c r="C41" s="183"/>
      <c r="D41" s="184"/>
      <c r="E41" s="226"/>
      <c r="F41" s="226"/>
      <c r="G41" s="227"/>
      <c r="H41" s="227"/>
      <c r="I41" s="227"/>
      <c r="J41" s="184"/>
      <c r="K41" s="184"/>
      <c r="L41" s="184"/>
      <c r="M41" s="184"/>
      <c r="N41" s="184"/>
      <c r="O41" s="184"/>
      <c r="P41" s="184"/>
      <c r="Q41" s="227"/>
      <c r="R41" s="227"/>
      <c r="S41" s="227"/>
      <c r="T41" s="184"/>
      <c r="U41" s="228"/>
    </row>
    <row r="42" spans="1:21" ht="15">
      <c r="A42" s="115"/>
      <c r="B42" s="115"/>
      <c r="C42" s="116"/>
      <c r="E42" s="133"/>
      <c r="F42" s="133"/>
      <c r="G42" s="117"/>
      <c r="H42" s="117"/>
      <c r="I42" s="117"/>
    </row>
    <row r="43" spans="1:21" ht="15">
      <c r="A43" s="115"/>
      <c r="B43" s="115"/>
      <c r="C43" s="116"/>
      <c r="E43" s="133"/>
      <c r="F43" s="133"/>
      <c r="G43" s="117"/>
      <c r="H43" s="117"/>
      <c r="I43" s="117"/>
    </row>
    <row r="44" spans="1:21" ht="15.75" thickBot="1">
      <c r="A44" s="116" t="s">
        <v>49</v>
      </c>
    </row>
    <row r="45" spans="1:21" ht="30.75" thickBot="1">
      <c r="A45" s="216" t="s">
        <v>444</v>
      </c>
      <c r="B45" s="217" t="s">
        <v>445</v>
      </c>
      <c r="C45" s="217"/>
      <c r="D45" s="217"/>
      <c r="E45" s="192" t="s">
        <v>446</v>
      </c>
      <c r="F45" s="219" t="s">
        <v>447</v>
      </c>
      <c r="G45" s="51" t="s">
        <v>448</v>
      </c>
      <c r="H45" s="193" t="s">
        <v>449</v>
      </c>
      <c r="I45" s="193" t="s">
        <v>450</v>
      </c>
      <c r="J45" s="193" t="s">
        <v>451</v>
      </c>
      <c r="K45" s="193" t="s">
        <v>452</v>
      </c>
      <c r="L45" s="193" t="s">
        <v>335</v>
      </c>
      <c r="M45" s="193" t="s">
        <v>453</v>
      </c>
      <c r="N45" s="193" t="s">
        <v>454</v>
      </c>
      <c r="O45" s="193" t="s">
        <v>455</v>
      </c>
      <c r="P45" s="193" t="s">
        <v>456</v>
      </c>
      <c r="Q45" s="193" t="s">
        <v>457</v>
      </c>
      <c r="R45" s="193" t="s">
        <v>458</v>
      </c>
      <c r="S45" s="51" t="s">
        <v>459</v>
      </c>
      <c r="T45" s="166" t="s">
        <v>460</v>
      </c>
      <c r="U45" s="52"/>
    </row>
    <row r="46" spans="1:21" ht="15">
      <c r="A46" s="230"/>
      <c r="B46" s="231"/>
      <c r="C46" s="170"/>
      <c r="D46" s="171"/>
      <c r="E46" s="232"/>
      <c r="F46" s="232"/>
      <c r="G46" s="171"/>
      <c r="H46" s="171"/>
      <c r="I46" s="171"/>
      <c r="J46" s="171"/>
      <c r="K46" s="171"/>
      <c r="L46" s="171"/>
      <c r="M46" s="233"/>
      <c r="N46" s="233"/>
      <c r="O46" s="171"/>
      <c r="P46" s="231"/>
      <c r="Q46" s="234"/>
      <c r="R46" s="231"/>
      <c r="S46" s="234"/>
      <c r="T46" s="171"/>
      <c r="U46" s="196"/>
    </row>
    <row r="47" spans="1:21">
      <c r="A47" s="175">
        <f>+A40+1</f>
        <v>18</v>
      </c>
      <c r="B47" s="115"/>
      <c r="C47" s="46" t="s">
        <v>824</v>
      </c>
      <c r="E47" s="197" t="s">
        <v>984</v>
      </c>
      <c r="F47" s="207">
        <v>165</v>
      </c>
      <c r="G47" s="198">
        <v>41129381</v>
      </c>
      <c r="H47" s="198">
        <v>44187844</v>
      </c>
      <c r="I47" s="198">
        <v>46699396</v>
      </c>
      <c r="J47" s="198">
        <v>44225053</v>
      </c>
      <c r="K47" s="198">
        <v>45668095</v>
      </c>
      <c r="L47" s="198">
        <v>50599482</v>
      </c>
      <c r="M47" s="198">
        <v>43351222</v>
      </c>
      <c r="N47" s="198">
        <v>43351222</v>
      </c>
      <c r="O47" s="198">
        <v>38619777</v>
      </c>
      <c r="P47" s="198">
        <v>35152461</v>
      </c>
      <c r="Q47" s="198">
        <v>35886234</v>
      </c>
      <c r="R47" s="198">
        <v>35898825</v>
      </c>
      <c r="S47" s="198">
        <v>36713274</v>
      </c>
      <c r="T47" s="235">
        <f>AVERAGE(G47:S47)</f>
        <v>41652482</v>
      </c>
      <c r="U47" s="236"/>
    </row>
    <row r="48" spans="1:21">
      <c r="A48" s="175">
        <f>+A47+1</f>
        <v>19</v>
      </c>
      <c r="B48" s="115"/>
      <c r="C48" s="206" t="s">
        <v>1004</v>
      </c>
      <c r="D48" s="206"/>
      <c r="E48" s="197" t="s">
        <v>984</v>
      </c>
      <c r="F48" s="207">
        <v>165</v>
      </c>
      <c r="G48" s="198">
        <v>83457.049999999988</v>
      </c>
      <c r="H48" s="198">
        <v>83468.63</v>
      </c>
      <c r="I48" s="198">
        <v>86558.150000000023</v>
      </c>
      <c r="J48" s="198">
        <v>88651.510000000009</v>
      </c>
      <c r="K48" s="198">
        <v>139202.87</v>
      </c>
      <c r="L48" s="198">
        <v>140339.85999999999</v>
      </c>
      <c r="M48" s="198">
        <v>206793.31000000006</v>
      </c>
      <c r="N48" s="198">
        <v>241388.09999999998</v>
      </c>
      <c r="O48" s="198">
        <v>260637.90000000002</v>
      </c>
      <c r="P48" s="198">
        <v>337725.29000000004</v>
      </c>
      <c r="Q48" s="198">
        <v>500999.94999999995</v>
      </c>
      <c r="R48" s="198">
        <v>542699.09000000008</v>
      </c>
      <c r="S48" s="198">
        <v>645450.1100000001</v>
      </c>
      <c r="T48" s="235">
        <f t="shared" ref="T48:T50" si="5">AVERAGE(G48:S48)</f>
        <v>258259.37076923079</v>
      </c>
      <c r="U48" s="236"/>
    </row>
    <row r="49" spans="1:21">
      <c r="A49" s="175">
        <f>+A48+1</f>
        <v>20</v>
      </c>
      <c r="B49" s="115"/>
      <c r="C49" s="206" t="s">
        <v>983</v>
      </c>
      <c r="D49" s="206"/>
      <c r="E49" s="197" t="s">
        <v>984</v>
      </c>
      <c r="F49" s="207">
        <v>165</v>
      </c>
      <c r="G49" s="198">
        <v>33584646</v>
      </c>
      <c r="H49" s="198">
        <v>33584646</v>
      </c>
      <c r="I49" s="198">
        <v>33584646</v>
      </c>
      <c r="J49" s="198">
        <v>37577015</v>
      </c>
      <c r="K49" s="198">
        <v>37606952</v>
      </c>
      <c r="L49" s="198">
        <v>38382389</v>
      </c>
      <c r="M49" s="198">
        <v>37767603</v>
      </c>
      <c r="N49" s="198">
        <v>37767603</v>
      </c>
      <c r="O49" s="198">
        <v>31295856</v>
      </c>
      <c r="P49" s="198">
        <v>29573421</v>
      </c>
      <c r="Q49" s="198">
        <v>31113108</v>
      </c>
      <c r="R49" s="198">
        <v>31454462</v>
      </c>
      <c r="S49" s="198">
        <v>29325561</v>
      </c>
      <c r="T49" s="235">
        <f>AVERAGE(G49:S49)</f>
        <v>34047531.384615384</v>
      </c>
      <c r="U49" s="236"/>
    </row>
    <row r="50" spans="1:21">
      <c r="A50" s="175">
        <f>+A49+1</f>
        <v>21</v>
      </c>
      <c r="B50" s="115"/>
      <c r="C50" s="46" t="s">
        <v>968</v>
      </c>
      <c r="E50" s="197" t="s">
        <v>984</v>
      </c>
      <c r="F50" s="207">
        <v>165</v>
      </c>
      <c r="G50" s="198">
        <v>0</v>
      </c>
      <c r="H50" s="198">
        <v>0</v>
      </c>
      <c r="I50" s="198">
        <v>0</v>
      </c>
      <c r="J50" s="198">
        <v>0</v>
      </c>
      <c r="K50" s="198">
        <v>0</v>
      </c>
      <c r="L50" s="198">
        <v>0</v>
      </c>
      <c r="M50" s="198">
        <v>0</v>
      </c>
      <c r="N50" s="198">
        <v>0</v>
      </c>
      <c r="O50" s="198">
        <v>0</v>
      </c>
      <c r="P50" s="198">
        <v>0</v>
      </c>
      <c r="Q50" s="198">
        <v>0</v>
      </c>
      <c r="R50" s="198">
        <v>0</v>
      </c>
      <c r="S50" s="198">
        <v>0</v>
      </c>
      <c r="T50" s="235">
        <f t="shared" si="5"/>
        <v>0</v>
      </c>
      <c r="U50" s="236"/>
    </row>
    <row r="51" spans="1:21">
      <c r="A51" s="175">
        <f>+A50+1</f>
        <v>22</v>
      </c>
      <c r="B51" s="115"/>
      <c r="C51" s="46" t="s">
        <v>825</v>
      </c>
      <c r="E51" s="133"/>
      <c r="F51" s="207"/>
      <c r="G51" s="115"/>
      <c r="M51" s="237"/>
      <c r="N51" s="237"/>
      <c r="O51" s="235"/>
      <c r="P51" s="235"/>
      <c r="Q51" s="235"/>
      <c r="R51" s="235"/>
      <c r="S51" s="235"/>
      <c r="T51" s="238">
        <f>+T47+T48-T49-T50</f>
        <v>7863209.9861538485</v>
      </c>
      <c r="U51" s="236"/>
    </row>
    <row r="52" spans="1:21" ht="15" thickBot="1">
      <c r="A52" s="182"/>
      <c r="B52" s="185"/>
      <c r="C52" s="185"/>
      <c r="D52" s="185"/>
      <c r="E52" s="185"/>
      <c r="F52" s="185"/>
      <c r="G52" s="185"/>
      <c r="H52" s="185"/>
      <c r="I52" s="185"/>
      <c r="J52" s="185"/>
      <c r="K52" s="185"/>
      <c r="L52" s="185"/>
      <c r="M52" s="185"/>
      <c r="N52" s="185"/>
      <c r="O52" s="185"/>
      <c r="P52" s="185"/>
      <c r="Q52" s="185"/>
      <c r="R52" s="185" t="s">
        <v>131</v>
      </c>
      <c r="S52" s="184"/>
      <c r="T52" s="184"/>
      <c r="U52" s="228"/>
    </row>
    <row r="53" spans="1:21" ht="15">
      <c r="A53" s="44"/>
      <c r="B53" s="115"/>
      <c r="C53" s="115"/>
      <c r="D53" s="115"/>
      <c r="E53" s="115"/>
      <c r="F53" s="115"/>
      <c r="G53" s="115"/>
      <c r="H53" s="115"/>
      <c r="I53" s="115"/>
      <c r="J53" s="115"/>
      <c r="K53" s="115"/>
      <c r="L53" s="115"/>
      <c r="M53" s="115"/>
      <c r="N53" s="115"/>
      <c r="O53" s="115"/>
      <c r="P53" s="115"/>
      <c r="Q53" s="115"/>
      <c r="R53" s="115"/>
    </row>
    <row r="54" spans="1:21">
      <c r="A54" s="115"/>
      <c r="C54" s="133"/>
      <c r="G54" s="117"/>
      <c r="H54" s="117"/>
      <c r="I54" s="117"/>
      <c r="J54" s="117"/>
      <c r="K54" s="117"/>
      <c r="L54" s="117"/>
      <c r="M54" s="117"/>
      <c r="N54" s="117"/>
      <c r="O54" s="117"/>
      <c r="P54" s="117"/>
      <c r="Q54" s="117"/>
      <c r="R54" s="117"/>
      <c r="S54" s="117"/>
      <c r="T54" s="117"/>
    </row>
    <row r="55" spans="1:21" ht="15.75" thickBot="1">
      <c r="A55" s="116" t="s">
        <v>52</v>
      </c>
      <c r="G55" s="215"/>
      <c r="H55" s="736"/>
      <c r="I55" s="736"/>
      <c r="J55" s="736"/>
      <c r="K55" s="736"/>
      <c r="L55" s="736"/>
      <c r="M55" s="736"/>
      <c r="N55" s="736"/>
      <c r="O55" s="736"/>
      <c r="P55" s="736"/>
      <c r="Q55" s="736"/>
      <c r="R55" s="736"/>
      <c r="S55" s="736"/>
    </row>
    <row r="56" spans="1:21" ht="30.75" thickBot="1">
      <c r="A56" s="216" t="s">
        <v>444</v>
      </c>
      <c r="B56" s="217" t="s">
        <v>445</v>
      </c>
      <c r="C56" s="217"/>
      <c r="D56" s="217"/>
      <c r="E56" s="218" t="s">
        <v>446</v>
      </c>
      <c r="F56" s="219" t="s">
        <v>447</v>
      </c>
      <c r="G56" s="51" t="s">
        <v>448</v>
      </c>
      <c r="H56" s="51" t="s">
        <v>449</v>
      </c>
      <c r="I56" s="51" t="s">
        <v>450</v>
      </c>
      <c r="J56" s="51" t="s">
        <v>451</v>
      </c>
      <c r="K56" s="51" t="s">
        <v>452</v>
      </c>
      <c r="L56" s="51" t="s">
        <v>335</v>
      </c>
      <c r="M56" s="51" t="s">
        <v>453</v>
      </c>
      <c r="N56" s="51" t="s">
        <v>454</v>
      </c>
      <c r="O56" s="51" t="s">
        <v>455</v>
      </c>
      <c r="P56" s="51" t="s">
        <v>456</v>
      </c>
      <c r="Q56" s="51" t="s">
        <v>457</v>
      </c>
      <c r="R56" s="51" t="s">
        <v>458</v>
      </c>
      <c r="S56" s="51" t="s">
        <v>459</v>
      </c>
      <c r="T56" s="219" t="s">
        <v>460</v>
      </c>
      <c r="U56" s="52"/>
    </row>
    <row r="57" spans="1:21">
      <c r="A57" s="175"/>
      <c r="C57" s="133"/>
      <c r="E57" s="122"/>
      <c r="F57" s="122"/>
      <c r="R57" s="117"/>
      <c r="S57" s="213"/>
      <c r="T57" s="213"/>
      <c r="U57" s="224"/>
    </row>
    <row r="58" spans="1:21">
      <c r="A58" s="175"/>
      <c r="C58" s="133"/>
      <c r="E58" s="122"/>
      <c r="F58" s="122"/>
      <c r="R58" s="117"/>
      <c r="S58" s="213"/>
      <c r="T58" s="213"/>
      <c r="U58" s="224"/>
    </row>
    <row r="59" spans="1:21">
      <c r="A59" s="175">
        <f>+A51+1</f>
        <v>23</v>
      </c>
      <c r="C59" s="133" t="s">
        <v>481</v>
      </c>
      <c r="E59" s="206" t="s">
        <v>985</v>
      </c>
      <c r="F59" s="207">
        <v>163</v>
      </c>
      <c r="G59" s="239">
        <v>-315589</v>
      </c>
      <c r="H59" s="239">
        <v>-525450</v>
      </c>
      <c r="I59" s="239">
        <v>-586160</v>
      </c>
      <c r="J59" s="239">
        <v>-694631</v>
      </c>
      <c r="K59" s="239">
        <v>-628044</v>
      </c>
      <c r="L59" s="239">
        <v>-572034</v>
      </c>
      <c r="M59" s="239">
        <v>-484533</v>
      </c>
      <c r="N59" s="239">
        <v>-275900</v>
      </c>
      <c r="O59" s="239">
        <v>95133</v>
      </c>
      <c r="P59" s="239">
        <v>66116</v>
      </c>
      <c r="Q59" s="239">
        <v>229193</v>
      </c>
      <c r="R59" s="239">
        <v>371021</v>
      </c>
      <c r="S59" s="239">
        <v>564393</v>
      </c>
      <c r="T59" s="235">
        <f>AVERAGE(G59:S59)</f>
        <v>-212037.30769230769</v>
      </c>
      <c r="U59" s="224"/>
    </row>
    <row r="60" spans="1:21">
      <c r="A60" s="175">
        <f>+A59+1</f>
        <v>24</v>
      </c>
      <c r="C60" s="133" t="s">
        <v>55</v>
      </c>
      <c r="E60" s="206" t="s">
        <v>986</v>
      </c>
      <c r="F60" s="207">
        <v>154</v>
      </c>
      <c r="G60" s="239">
        <v>255582</v>
      </c>
      <c r="H60" s="239">
        <v>153243</v>
      </c>
      <c r="I60" s="239">
        <v>144481</v>
      </c>
      <c r="J60" s="239">
        <v>138173</v>
      </c>
      <c r="K60" s="239">
        <v>145742</v>
      </c>
      <c r="L60" s="239">
        <v>142952</v>
      </c>
      <c r="M60" s="239">
        <v>137871</v>
      </c>
      <c r="N60" s="239">
        <v>132976</v>
      </c>
      <c r="O60" s="239">
        <v>126599</v>
      </c>
      <c r="P60" s="239">
        <v>124502</v>
      </c>
      <c r="Q60" s="239">
        <v>125283</v>
      </c>
      <c r="R60" s="239">
        <v>127380</v>
      </c>
      <c r="S60" s="239">
        <v>134430</v>
      </c>
      <c r="T60" s="235">
        <f t="shared" ref="T60:T61" si="6">AVERAGE(G60:S60)</f>
        <v>145324.15384615384</v>
      </c>
      <c r="U60" s="224"/>
    </row>
    <row r="61" spans="1:21">
      <c r="A61" s="175">
        <f>+A60+1</f>
        <v>25</v>
      </c>
      <c r="C61" s="133" t="s">
        <v>790</v>
      </c>
      <c r="E61" s="206" t="s">
        <v>987</v>
      </c>
      <c r="F61" s="207">
        <v>154</v>
      </c>
      <c r="G61" s="240">
        <v>687537</v>
      </c>
      <c r="H61" s="240">
        <v>706774</v>
      </c>
      <c r="I61" s="240">
        <v>666360</v>
      </c>
      <c r="J61" s="240">
        <v>637269</v>
      </c>
      <c r="K61" s="240">
        <v>672179</v>
      </c>
      <c r="L61" s="240">
        <v>659310</v>
      </c>
      <c r="M61" s="240">
        <v>635875</v>
      </c>
      <c r="N61" s="240">
        <v>613298</v>
      </c>
      <c r="O61" s="198">
        <v>583889</v>
      </c>
      <c r="P61" s="198">
        <v>574218</v>
      </c>
      <c r="Q61" s="198">
        <v>577819</v>
      </c>
      <c r="R61" s="198">
        <v>587490</v>
      </c>
      <c r="S61" s="198">
        <v>620004</v>
      </c>
      <c r="T61" s="235">
        <f t="shared" si="6"/>
        <v>632463.23076923075</v>
      </c>
      <c r="U61" s="224"/>
    </row>
    <row r="62" spans="1:21" ht="15.75" thickBot="1">
      <c r="A62" s="182"/>
      <c r="B62" s="185"/>
      <c r="C62" s="183"/>
      <c r="D62" s="185"/>
      <c r="E62" s="226"/>
      <c r="F62" s="226"/>
      <c r="G62" s="241"/>
      <c r="H62" s="241"/>
      <c r="I62" s="242"/>
      <c r="J62" s="226"/>
      <c r="K62" s="226"/>
      <c r="L62" s="226"/>
      <c r="M62" s="226"/>
      <c r="N62" s="226"/>
      <c r="O62" s="226"/>
      <c r="P62" s="226"/>
      <c r="Q62" s="226"/>
      <c r="R62" s="226"/>
      <c r="S62" s="184"/>
      <c r="T62" s="726"/>
      <c r="U62" s="727"/>
    </row>
    <row r="63" spans="1:21" ht="15">
      <c r="A63" s="115"/>
      <c r="B63" s="132"/>
      <c r="C63" s="133"/>
      <c r="G63" s="117"/>
      <c r="H63" s="117"/>
      <c r="I63" s="117"/>
      <c r="J63" s="117"/>
      <c r="K63" s="117"/>
      <c r="L63" s="117"/>
      <c r="M63" s="117"/>
      <c r="N63" s="117"/>
      <c r="O63" s="117"/>
      <c r="P63" s="117"/>
      <c r="Q63" s="117"/>
      <c r="R63" s="117"/>
      <c r="S63" s="117"/>
      <c r="T63" s="243"/>
      <c r="U63" s="158"/>
    </row>
    <row r="64" spans="1:21" ht="15">
      <c r="A64" s="115"/>
      <c r="B64" s="132"/>
      <c r="C64" s="133"/>
      <c r="G64" s="117"/>
      <c r="H64" s="117"/>
      <c r="I64" s="117"/>
      <c r="J64" s="117"/>
      <c r="K64" s="117"/>
      <c r="L64" s="117"/>
      <c r="M64" s="117"/>
      <c r="N64" s="117"/>
      <c r="O64" s="117"/>
      <c r="P64" s="117"/>
      <c r="Q64" s="117"/>
      <c r="R64" s="117"/>
      <c r="S64" s="117"/>
      <c r="T64" s="243"/>
      <c r="U64" s="158"/>
    </row>
    <row r="65" spans="1:21" ht="15.75" thickBot="1">
      <c r="A65" s="116" t="s">
        <v>482</v>
      </c>
      <c r="G65" s="215"/>
    </row>
    <row r="66" spans="1:21" ht="30.75" thickBot="1">
      <c r="A66" s="216" t="s">
        <v>444</v>
      </c>
      <c r="B66" s="217" t="s">
        <v>445</v>
      </c>
      <c r="C66" s="217"/>
      <c r="D66" s="217"/>
      <c r="E66" s="218" t="s">
        <v>446</v>
      </c>
      <c r="F66" s="219" t="s">
        <v>447</v>
      </c>
      <c r="G66" s="220"/>
      <c r="H66" s="220"/>
      <c r="I66" s="220"/>
      <c r="J66" s="220"/>
      <c r="K66" s="220"/>
      <c r="L66" s="220"/>
      <c r="M66" s="220"/>
      <c r="N66" s="220"/>
      <c r="O66" s="220"/>
      <c r="P66" s="220"/>
      <c r="Q66" s="220"/>
      <c r="R66" s="220"/>
      <c r="S66" s="51" t="s">
        <v>474</v>
      </c>
      <c r="T66" s="244"/>
      <c r="U66" s="221"/>
    </row>
    <row r="67" spans="1:21">
      <c r="A67" s="175">
        <f>+A61+1</f>
        <v>26</v>
      </c>
      <c r="C67" s="133" t="s">
        <v>73</v>
      </c>
      <c r="E67" s="122" t="s">
        <v>483</v>
      </c>
      <c r="F67" s="204" t="s">
        <v>484</v>
      </c>
      <c r="G67" s="115"/>
      <c r="S67" s="245">
        <f>36116518</f>
        <v>36116518</v>
      </c>
      <c r="U67" s="224"/>
    </row>
    <row r="68" spans="1:21">
      <c r="A68" s="175">
        <f>+A67+1</f>
        <v>27</v>
      </c>
      <c r="C68" s="133" t="s">
        <v>485</v>
      </c>
      <c r="E68" s="46" t="s">
        <v>486</v>
      </c>
      <c r="F68" s="207">
        <v>565</v>
      </c>
      <c r="G68" s="115"/>
      <c r="S68" s="198">
        <v>26720310</v>
      </c>
      <c r="U68" s="224"/>
    </row>
    <row r="69" spans="1:21">
      <c r="A69" s="175">
        <f>+A68+1</f>
        <v>28</v>
      </c>
      <c r="C69" s="133" t="s">
        <v>487</v>
      </c>
      <c r="E69" s="46" t="s">
        <v>488</v>
      </c>
      <c r="F69" s="207">
        <v>561.4</v>
      </c>
      <c r="G69" s="115"/>
      <c r="S69" s="198">
        <v>2714591</v>
      </c>
      <c r="U69" s="224"/>
    </row>
    <row r="70" spans="1:21">
      <c r="A70" s="175">
        <f>+A69+1</f>
        <v>29</v>
      </c>
      <c r="C70" s="133" t="s">
        <v>489</v>
      </c>
      <c r="F70" s="207"/>
      <c r="S70" s="235">
        <f>+SUM(S68:S69)</f>
        <v>29434901</v>
      </c>
      <c r="U70" s="224"/>
    </row>
    <row r="71" spans="1:21" ht="15" thickBot="1">
      <c r="A71" s="182"/>
      <c r="B71" s="184"/>
      <c r="C71" s="226"/>
      <c r="D71" s="184"/>
      <c r="E71" s="184"/>
      <c r="F71" s="184"/>
      <c r="G71" s="227"/>
      <c r="H71" s="227"/>
      <c r="I71" s="227"/>
      <c r="J71" s="227"/>
      <c r="K71" s="227"/>
      <c r="L71" s="227"/>
      <c r="M71" s="227"/>
      <c r="N71" s="227"/>
      <c r="O71" s="227"/>
      <c r="P71" s="227"/>
      <c r="Q71" s="227"/>
      <c r="R71" s="227"/>
      <c r="S71" s="227"/>
      <c r="T71" s="227"/>
      <c r="U71" s="228"/>
    </row>
    <row r="72" spans="1:21">
      <c r="A72" s="115"/>
      <c r="C72" s="133"/>
      <c r="G72" s="117"/>
      <c r="H72" s="117"/>
      <c r="I72" s="117"/>
      <c r="J72" s="117"/>
      <c r="K72" s="117"/>
      <c r="L72" s="117"/>
      <c r="M72" s="117"/>
      <c r="N72" s="117"/>
      <c r="O72" s="117"/>
      <c r="P72" s="117"/>
      <c r="Q72" s="117"/>
      <c r="R72" s="117"/>
      <c r="S72" s="117"/>
      <c r="T72" s="117"/>
    </row>
    <row r="73" spans="1:21">
      <c r="A73" s="115"/>
      <c r="C73" s="133"/>
      <c r="G73" s="117"/>
      <c r="H73" s="117"/>
      <c r="I73" s="117"/>
      <c r="J73" s="117"/>
      <c r="K73" s="117"/>
      <c r="L73" s="117"/>
      <c r="M73" s="117"/>
      <c r="N73" s="117"/>
      <c r="O73" s="117"/>
      <c r="P73" s="117"/>
      <c r="Q73" s="117"/>
      <c r="R73" s="117"/>
      <c r="S73" s="117"/>
      <c r="T73" s="117"/>
    </row>
    <row r="74" spans="1:21" ht="15.75" thickBot="1">
      <c r="A74" s="116" t="s">
        <v>490</v>
      </c>
      <c r="G74" s="215"/>
      <c r="H74" s="117"/>
      <c r="I74" s="117"/>
      <c r="J74" s="117"/>
      <c r="K74" s="117"/>
      <c r="L74" s="117"/>
      <c r="M74" s="117"/>
      <c r="N74" s="117"/>
      <c r="O74" s="117"/>
      <c r="P74" s="117"/>
      <c r="Q74" s="117"/>
      <c r="R74" s="117"/>
      <c r="S74" s="117"/>
      <c r="T74" s="243"/>
      <c r="U74" s="158"/>
    </row>
    <row r="75" spans="1:21" ht="30.75" thickBot="1">
      <c r="A75" s="216" t="s">
        <v>444</v>
      </c>
      <c r="B75" s="217" t="s">
        <v>445</v>
      </c>
      <c r="C75" s="217"/>
      <c r="D75" s="217"/>
      <c r="E75" s="218" t="s">
        <v>446</v>
      </c>
      <c r="F75" s="219" t="s">
        <v>447</v>
      </c>
      <c r="G75" s="220"/>
      <c r="H75" s="246"/>
      <c r="I75" s="246"/>
      <c r="J75" s="246"/>
      <c r="K75" s="246"/>
      <c r="L75" s="246"/>
      <c r="M75" s="246"/>
      <c r="N75" s="246"/>
      <c r="O75" s="246"/>
      <c r="P75" s="246"/>
      <c r="Q75" s="246"/>
      <c r="R75" s="246"/>
      <c r="S75" s="51" t="s">
        <v>474</v>
      </c>
      <c r="T75" s="244"/>
      <c r="U75" s="52"/>
    </row>
    <row r="76" spans="1:21">
      <c r="A76" s="175"/>
      <c r="C76" s="133"/>
      <c r="H76" s="117"/>
      <c r="I76" s="117"/>
      <c r="J76" s="117"/>
      <c r="K76" s="117"/>
      <c r="L76" s="117"/>
      <c r="M76" s="117"/>
      <c r="N76" s="117"/>
      <c r="O76" s="117"/>
      <c r="P76" s="117"/>
      <c r="Q76" s="117"/>
      <c r="R76" s="117"/>
      <c r="U76" s="247"/>
    </row>
    <row r="77" spans="1:21" ht="15">
      <c r="A77" s="175">
        <f>+A70+1</f>
        <v>30</v>
      </c>
      <c r="B77" s="116"/>
      <c r="C77" s="133" t="s">
        <v>491</v>
      </c>
      <c r="E77" s="46" t="s">
        <v>955</v>
      </c>
      <c r="F77" s="207">
        <v>924</v>
      </c>
      <c r="G77" s="115"/>
      <c r="H77" s="117"/>
      <c r="I77" s="117"/>
      <c r="J77" s="117"/>
      <c r="K77" s="117"/>
      <c r="L77" s="117"/>
      <c r="M77" s="117"/>
      <c r="N77" s="117"/>
      <c r="O77" s="117"/>
      <c r="P77" s="117"/>
      <c r="Q77" s="117"/>
      <c r="R77" s="117"/>
      <c r="S77" s="198">
        <v>3896676</v>
      </c>
      <c r="U77" s="247"/>
    </row>
    <row r="78" spans="1:21" ht="15.75" thickBot="1">
      <c r="A78" s="182"/>
      <c r="B78" s="241"/>
      <c r="C78" s="226"/>
      <c r="D78" s="184"/>
      <c r="E78" s="184"/>
      <c r="F78" s="184"/>
      <c r="G78" s="227"/>
      <c r="H78" s="227"/>
      <c r="I78" s="227"/>
      <c r="J78" s="227"/>
      <c r="K78" s="227"/>
      <c r="L78" s="227"/>
      <c r="M78" s="227"/>
      <c r="N78" s="227"/>
      <c r="O78" s="227"/>
      <c r="P78" s="227"/>
      <c r="Q78" s="227"/>
      <c r="R78" s="227"/>
      <c r="S78" s="227"/>
      <c r="T78" s="248"/>
      <c r="U78" s="249"/>
    </row>
    <row r="79" spans="1:21" ht="15">
      <c r="A79" s="115"/>
      <c r="B79" s="115"/>
      <c r="C79" s="116"/>
      <c r="D79" s="115"/>
      <c r="E79" s="133"/>
      <c r="F79" s="133"/>
      <c r="I79" s="250"/>
      <c r="J79" s="133"/>
      <c r="K79" s="133"/>
      <c r="L79" s="133"/>
      <c r="M79" s="133"/>
      <c r="N79" s="133"/>
      <c r="O79" s="133"/>
      <c r="P79" s="133"/>
      <c r="Q79" s="133"/>
      <c r="R79" s="133"/>
      <c r="T79" s="207"/>
    </row>
    <row r="80" spans="1:21" ht="15.75" thickBot="1">
      <c r="A80" s="116" t="s">
        <v>492</v>
      </c>
    </row>
    <row r="81" spans="1:21" ht="30.75" thickBot="1">
      <c r="A81" s="216" t="s">
        <v>444</v>
      </c>
      <c r="B81" s="217" t="s">
        <v>445</v>
      </c>
      <c r="C81" s="217"/>
      <c r="D81" s="217"/>
      <c r="E81" s="218" t="s">
        <v>446</v>
      </c>
      <c r="F81" s="219" t="s">
        <v>447</v>
      </c>
      <c r="G81" s="51"/>
      <c r="H81" s="51"/>
      <c r="I81" s="51"/>
      <c r="J81" s="51"/>
      <c r="K81" s="51"/>
      <c r="L81" s="51"/>
      <c r="M81" s="51"/>
      <c r="N81" s="51"/>
      <c r="O81" s="51"/>
      <c r="P81" s="51"/>
      <c r="Q81" s="51"/>
      <c r="R81" s="51"/>
      <c r="S81" s="219" t="s">
        <v>474</v>
      </c>
      <c r="T81" s="730"/>
      <c r="U81" s="731"/>
    </row>
    <row r="82" spans="1:21" ht="15">
      <c r="A82" s="175"/>
      <c r="B82" s="116"/>
      <c r="C82" s="115"/>
      <c r="D82" s="115"/>
      <c r="E82" s="115"/>
      <c r="F82" s="115"/>
      <c r="G82" s="115"/>
      <c r="H82" s="115"/>
      <c r="I82" s="115"/>
      <c r="J82" s="115"/>
      <c r="K82" s="115"/>
      <c r="L82" s="115"/>
      <c r="M82" s="115"/>
      <c r="N82" s="115"/>
      <c r="O82" s="115"/>
      <c r="P82" s="115"/>
      <c r="Q82" s="115"/>
      <c r="R82" s="115"/>
      <c r="U82" s="224"/>
    </row>
    <row r="83" spans="1:21" s="251" customFormat="1" ht="15">
      <c r="A83" s="175">
        <f>+A77+1</f>
        <v>31</v>
      </c>
      <c r="B83" s="115"/>
      <c r="C83" s="133" t="s">
        <v>493</v>
      </c>
      <c r="D83" s="115"/>
      <c r="E83" s="133" t="s">
        <v>954</v>
      </c>
      <c r="F83" s="207" t="s">
        <v>494</v>
      </c>
      <c r="G83" s="115"/>
      <c r="H83" s="133"/>
      <c r="I83" s="133"/>
      <c r="J83" s="133"/>
      <c r="K83" s="133"/>
      <c r="L83" s="133"/>
      <c r="M83" s="133"/>
      <c r="N83" s="133"/>
      <c r="O83" s="133"/>
      <c r="P83" s="133"/>
      <c r="Q83" s="133" t="s">
        <v>495</v>
      </c>
      <c r="R83" s="133"/>
      <c r="S83" s="198">
        <v>73522883</v>
      </c>
      <c r="T83" s="53"/>
      <c r="U83" s="247"/>
    </row>
    <row r="84" spans="1:21" ht="15">
      <c r="A84" s="175">
        <f>+A83+1</f>
        <v>32</v>
      </c>
      <c r="B84" s="115"/>
      <c r="C84" s="46" t="s">
        <v>496</v>
      </c>
      <c r="D84" s="117"/>
      <c r="E84" s="197" t="s">
        <v>988</v>
      </c>
      <c r="F84" s="207" t="s">
        <v>494</v>
      </c>
      <c r="G84" s="133"/>
      <c r="H84" s="133"/>
      <c r="I84" s="133"/>
      <c r="J84" s="133"/>
      <c r="K84" s="133"/>
      <c r="L84" s="133"/>
      <c r="M84" s="133"/>
      <c r="N84" s="133"/>
      <c r="O84" s="133"/>
      <c r="P84" s="133"/>
      <c r="Q84" s="133"/>
      <c r="R84" s="133"/>
      <c r="S84" s="252">
        <f>+'13 - A&amp;G Detail'!H37</f>
        <v>9087258</v>
      </c>
      <c r="T84" s="728"/>
      <c r="U84" s="729"/>
    </row>
    <row r="85" spans="1:21" ht="15">
      <c r="A85" s="175">
        <f>+A84+1</f>
        <v>33</v>
      </c>
      <c r="B85" s="115"/>
      <c r="C85" s="46" t="s">
        <v>497</v>
      </c>
      <c r="D85" s="117"/>
      <c r="E85" s="197" t="s">
        <v>988</v>
      </c>
      <c r="F85" s="207" t="s">
        <v>494</v>
      </c>
      <c r="G85" s="133"/>
      <c r="H85" s="133"/>
      <c r="I85" s="133"/>
      <c r="J85" s="133"/>
      <c r="K85" s="133"/>
      <c r="L85" s="133"/>
      <c r="M85" s="133"/>
      <c r="N85" s="133"/>
      <c r="O85" s="133"/>
      <c r="P85" s="133"/>
      <c r="Q85" s="133"/>
      <c r="R85" s="133"/>
      <c r="S85" s="252">
        <f>+'13 - A&amp;G Detail'!H37+'13 - A&amp;G Detail'!J37</f>
        <v>73441553</v>
      </c>
      <c r="T85" s="53"/>
      <c r="U85" s="253"/>
    </row>
    <row r="86" spans="1:21" ht="15" thickBot="1">
      <c r="A86" s="182"/>
      <c r="B86" s="185"/>
      <c r="C86" s="185"/>
      <c r="D86" s="185"/>
      <c r="E86" s="185"/>
      <c r="F86" s="185"/>
      <c r="G86" s="185"/>
      <c r="H86" s="185"/>
      <c r="I86" s="185"/>
      <c r="J86" s="185"/>
      <c r="K86" s="185"/>
      <c r="L86" s="185"/>
      <c r="M86" s="185"/>
      <c r="N86" s="185"/>
      <c r="O86" s="185"/>
      <c r="P86" s="185"/>
      <c r="Q86" s="185"/>
      <c r="R86" s="185"/>
      <c r="S86" s="184"/>
      <c r="T86" s="184"/>
      <c r="U86" s="228"/>
    </row>
    <row r="88" spans="1:21">
      <c r="T88" s="46" t="s">
        <v>131</v>
      </c>
    </row>
    <row r="89" spans="1:21" ht="15.75" thickBot="1">
      <c r="A89" s="116" t="s">
        <v>498</v>
      </c>
    </row>
    <row r="90" spans="1:21" ht="30.75" thickBot="1">
      <c r="A90" s="216" t="s">
        <v>444</v>
      </c>
      <c r="B90" s="217" t="s">
        <v>445</v>
      </c>
      <c r="C90" s="217"/>
      <c r="D90" s="217"/>
      <c r="E90" s="218" t="s">
        <v>446</v>
      </c>
      <c r="F90" s="219" t="s">
        <v>447</v>
      </c>
      <c r="G90" s="51"/>
      <c r="H90" s="51"/>
      <c r="I90" s="51"/>
      <c r="J90" s="51"/>
      <c r="K90" s="51"/>
      <c r="L90" s="51"/>
      <c r="M90" s="51"/>
      <c r="N90" s="51"/>
      <c r="O90" s="51"/>
      <c r="P90" s="51"/>
      <c r="Q90" s="51"/>
      <c r="R90" s="51"/>
      <c r="S90" s="219" t="s">
        <v>474</v>
      </c>
      <c r="T90" s="219"/>
      <c r="U90" s="52"/>
    </row>
    <row r="91" spans="1:21" ht="15">
      <c r="A91" s="254"/>
      <c r="B91" s="170"/>
      <c r="C91" s="170"/>
      <c r="D91" s="170"/>
      <c r="E91" s="255"/>
      <c r="F91" s="255"/>
      <c r="G91" s="256"/>
      <c r="H91" s="256"/>
      <c r="I91" s="256"/>
      <c r="J91" s="256"/>
      <c r="K91" s="256"/>
      <c r="L91" s="256"/>
      <c r="M91" s="256"/>
      <c r="N91" s="256"/>
      <c r="O91" s="256"/>
      <c r="P91" s="256"/>
      <c r="Q91" s="256"/>
      <c r="R91" s="256"/>
      <c r="S91" s="257"/>
      <c r="T91" s="257"/>
      <c r="U91" s="258"/>
    </row>
    <row r="92" spans="1:21">
      <c r="A92" s="175">
        <f>+A85+1</f>
        <v>34</v>
      </c>
      <c r="B92" s="115"/>
      <c r="C92" s="133" t="s">
        <v>499</v>
      </c>
      <c r="D92" s="122"/>
      <c r="E92" s="133" t="s">
        <v>953</v>
      </c>
      <c r="F92" s="207">
        <v>928</v>
      </c>
      <c r="G92" s="115"/>
      <c r="H92" s="133"/>
      <c r="I92" s="235"/>
      <c r="J92" s="133"/>
      <c r="K92" s="133"/>
      <c r="L92" s="133"/>
      <c r="M92" s="133"/>
      <c r="N92" s="133"/>
      <c r="O92" s="133"/>
      <c r="P92" s="133"/>
      <c r="Q92" s="133"/>
      <c r="R92" s="133"/>
      <c r="S92" s="198">
        <v>3517286</v>
      </c>
      <c r="T92" s="259"/>
      <c r="U92" s="260"/>
    </row>
    <row r="93" spans="1:21">
      <c r="A93" s="175">
        <f>+A92+1</f>
        <v>35</v>
      </c>
      <c r="B93" s="115"/>
      <c r="C93" s="133" t="s">
        <v>500</v>
      </c>
      <c r="D93" s="115"/>
      <c r="E93" s="197" t="s">
        <v>989</v>
      </c>
      <c r="F93" s="207">
        <v>928</v>
      </c>
      <c r="G93" s="115"/>
      <c r="H93" s="133"/>
      <c r="I93" s="133"/>
      <c r="J93" s="133"/>
      <c r="K93" s="133"/>
      <c r="L93" s="133"/>
      <c r="M93" s="133"/>
      <c r="N93" s="133"/>
      <c r="O93" s="133"/>
      <c r="P93" s="133"/>
      <c r="Q93" s="133"/>
      <c r="R93" s="133"/>
      <c r="S93" s="245">
        <v>0</v>
      </c>
      <c r="T93" s="117"/>
      <c r="U93" s="260"/>
    </row>
    <row r="94" spans="1:21" ht="15" thickBot="1">
      <c r="A94" s="261"/>
      <c r="B94" s="184"/>
      <c r="C94" s="184"/>
      <c r="D94" s="184"/>
      <c r="E94" s="184"/>
      <c r="F94" s="184"/>
      <c r="G94" s="184"/>
      <c r="H94" s="184"/>
      <c r="I94" s="184"/>
      <c r="J94" s="184"/>
      <c r="K94" s="184"/>
      <c r="L94" s="184"/>
      <c r="M94" s="184"/>
      <c r="N94" s="184"/>
      <c r="O94" s="184"/>
      <c r="P94" s="184"/>
      <c r="Q94" s="184"/>
      <c r="R94" s="184"/>
      <c r="S94" s="184"/>
      <c r="T94" s="184"/>
      <c r="U94" s="228"/>
    </row>
    <row r="97" spans="1:21" ht="15.75" thickBot="1">
      <c r="A97" s="132" t="s">
        <v>817</v>
      </c>
      <c r="E97" s="133"/>
      <c r="F97" s="133"/>
    </row>
    <row r="98" spans="1:21" ht="30.75" thickBot="1">
      <c r="A98" s="216" t="s">
        <v>444</v>
      </c>
      <c r="B98" s="217" t="s">
        <v>445</v>
      </c>
      <c r="C98" s="217"/>
      <c r="D98" s="217"/>
      <c r="E98" s="218" t="s">
        <v>446</v>
      </c>
      <c r="F98" s="219" t="s">
        <v>447</v>
      </c>
      <c r="G98" s="51"/>
      <c r="H98" s="51"/>
      <c r="I98" s="51"/>
      <c r="J98" s="51"/>
      <c r="K98" s="51"/>
      <c r="L98" s="51"/>
      <c r="M98" s="51"/>
      <c r="N98" s="51"/>
      <c r="O98" s="51"/>
      <c r="P98" s="51"/>
      <c r="Q98" s="51"/>
      <c r="R98" s="51"/>
      <c r="S98" s="219" t="s">
        <v>474</v>
      </c>
      <c r="T98" s="219"/>
      <c r="U98" s="52"/>
    </row>
    <row r="99" spans="1:21" ht="15">
      <c r="A99" s="222"/>
      <c r="B99" s="132"/>
      <c r="C99" s="132"/>
      <c r="D99" s="132"/>
      <c r="E99" s="223"/>
      <c r="F99" s="223"/>
      <c r="G99" s="44"/>
      <c r="H99" s="44"/>
      <c r="I99" s="44"/>
      <c r="J99" s="44"/>
      <c r="K99" s="44"/>
      <c r="L99" s="44"/>
      <c r="M99" s="44"/>
      <c r="N99" s="44"/>
      <c r="O99" s="44"/>
      <c r="P99" s="44"/>
      <c r="Q99" s="44"/>
      <c r="R99" s="44"/>
      <c r="S99" s="53"/>
      <c r="T99" s="53"/>
      <c r="U99" s="253"/>
    </row>
    <row r="100" spans="1:21">
      <c r="A100" s="175">
        <f>+A93+1</f>
        <v>36</v>
      </c>
      <c r="B100" s="115"/>
      <c r="C100" s="133" t="s">
        <v>501</v>
      </c>
      <c r="E100" s="46" t="s">
        <v>502</v>
      </c>
      <c r="F100" s="46" t="s">
        <v>819</v>
      </c>
      <c r="G100" s="115"/>
      <c r="H100" s="133"/>
      <c r="I100" s="133"/>
      <c r="J100" s="133"/>
      <c r="K100" s="133"/>
      <c r="L100" s="133"/>
      <c r="M100" s="133"/>
      <c r="N100" s="133"/>
      <c r="O100" s="133"/>
      <c r="P100" s="133"/>
      <c r="Q100" s="133"/>
      <c r="R100" s="133"/>
      <c r="S100" s="198">
        <v>0</v>
      </c>
      <c r="T100" s="259"/>
      <c r="U100" s="262"/>
    </row>
    <row r="101" spans="1:21">
      <c r="A101" s="175">
        <f>+A100+1</f>
        <v>37</v>
      </c>
      <c r="B101" s="115"/>
      <c r="C101" s="133" t="s">
        <v>818</v>
      </c>
      <c r="E101" s="46" t="s">
        <v>820</v>
      </c>
      <c r="F101" s="46" t="s">
        <v>819</v>
      </c>
      <c r="G101" s="115"/>
      <c r="H101" s="133"/>
      <c r="I101" s="133"/>
      <c r="J101" s="133"/>
      <c r="K101" s="133"/>
      <c r="L101" s="133"/>
      <c r="M101" s="133"/>
      <c r="N101" s="133"/>
      <c r="O101" s="133"/>
      <c r="P101" s="133"/>
      <c r="Q101" s="133"/>
      <c r="R101" s="133"/>
      <c r="S101" s="198">
        <v>0</v>
      </c>
      <c r="T101" s="259"/>
      <c r="U101" s="262"/>
    </row>
    <row r="102" spans="1:21" ht="15" thickBot="1">
      <c r="A102" s="182"/>
      <c r="B102" s="185"/>
      <c r="C102" s="226"/>
      <c r="D102" s="184"/>
      <c r="E102" s="184"/>
      <c r="F102" s="184"/>
      <c r="G102" s="226"/>
      <c r="H102" s="226"/>
      <c r="I102" s="226"/>
      <c r="J102" s="226"/>
      <c r="K102" s="226"/>
      <c r="L102" s="226"/>
      <c r="M102" s="226"/>
      <c r="N102" s="226"/>
      <c r="O102" s="226"/>
      <c r="P102" s="226"/>
      <c r="Q102" s="226"/>
      <c r="R102" s="226"/>
      <c r="S102" s="227"/>
      <c r="T102" s="263"/>
      <c r="U102" s="264"/>
    </row>
    <row r="103" spans="1:21">
      <c r="U103" s="224"/>
    </row>
    <row r="104" spans="1:21">
      <c r="U104" s="24"/>
    </row>
    <row r="105" spans="1:21" ht="15.75" thickBot="1">
      <c r="A105" s="116" t="s">
        <v>503</v>
      </c>
      <c r="G105" s="215"/>
    </row>
    <row r="106" spans="1:21" ht="30.75" thickBot="1">
      <c r="A106" s="216" t="s">
        <v>444</v>
      </c>
      <c r="B106" s="217" t="s">
        <v>445</v>
      </c>
      <c r="C106" s="217"/>
      <c r="D106" s="217"/>
      <c r="E106" s="218" t="s">
        <v>446</v>
      </c>
      <c r="F106" s="219" t="s">
        <v>447</v>
      </c>
      <c r="G106" s="220"/>
      <c r="H106" s="220"/>
      <c r="I106" s="220"/>
      <c r="J106" s="220"/>
      <c r="K106" s="220"/>
      <c r="L106" s="220"/>
      <c r="M106" s="220"/>
      <c r="N106" s="220"/>
      <c r="O106" s="220"/>
      <c r="P106" s="220"/>
      <c r="Q106" s="220"/>
      <c r="R106" s="220"/>
      <c r="S106" s="51" t="s">
        <v>474</v>
      </c>
      <c r="T106" s="51"/>
      <c r="U106" s="221"/>
    </row>
    <row r="107" spans="1:21">
      <c r="A107" s="169"/>
      <c r="B107" s="171"/>
      <c r="C107" s="232"/>
      <c r="D107" s="171"/>
      <c r="E107" s="171"/>
      <c r="F107" s="171"/>
      <c r="G107" s="171"/>
      <c r="H107" s="171"/>
      <c r="I107" s="171"/>
      <c r="J107" s="171"/>
      <c r="K107" s="171"/>
      <c r="L107" s="171"/>
      <c r="M107" s="171"/>
      <c r="N107" s="171"/>
      <c r="O107" s="171"/>
      <c r="P107" s="171"/>
      <c r="Q107" s="171"/>
      <c r="R107" s="171"/>
      <c r="S107" s="171"/>
      <c r="T107" s="171"/>
      <c r="U107" s="196"/>
    </row>
    <row r="108" spans="1:21" ht="15">
      <c r="A108" s="175">
        <f>+A101+1</f>
        <v>38</v>
      </c>
      <c r="B108" s="116"/>
      <c r="C108" s="133" t="s">
        <v>504</v>
      </c>
      <c r="E108" s="46" t="s">
        <v>505</v>
      </c>
      <c r="F108" s="207">
        <v>403</v>
      </c>
      <c r="G108" s="115"/>
      <c r="S108" s="198">
        <v>8869839</v>
      </c>
      <c r="U108" s="224"/>
    </row>
    <row r="109" spans="1:21" ht="15">
      <c r="A109" s="175">
        <f>+A108+1</f>
        <v>39</v>
      </c>
      <c r="B109" s="116"/>
      <c r="C109" s="133" t="s">
        <v>506</v>
      </c>
      <c r="E109" s="46" t="s">
        <v>507</v>
      </c>
      <c r="F109" s="207">
        <v>403</v>
      </c>
      <c r="S109" s="198">
        <v>1082047</v>
      </c>
      <c r="U109" s="265"/>
    </row>
    <row r="110" spans="1:21">
      <c r="A110" s="175">
        <f>+A109+1</f>
        <v>40</v>
      </c>
      <c r="B110" s="207"/>
      <c r="C110" s="133" t="s">
        <v>508</v>
      </c>
      <c r="E110" s="46" t="s">
        <v>509</v>
      </c>
      <c r="F110" s="207">
        <v>404</v>
      </c>
      <c r="S110" s="198">
        <v>3199318</v>
      </c>
      <c r="U110" s="224"/>
    </row>
    <row r="111" spans="1:21" ht="15" thickBot="1">
      <c r="A111" s="182"/>
      <c r="B111" s="209"/>
      <c r="C111" s="226"/>
      <c r="D111" s="184"/>
      <c r="E111" s="184"/>
      <c r="F111" s="184"/>
      <c r="G111" s="184"/>
      <c r="H111" s="184"/>
      <c r="I111" s="184"/>
      <c r="J111" s="184"/>
      <c r="K111" s="184"/>
      <c r="L111" s="184"/>
      <c r="M111" s="184"/>
      <c r="N111" s="184"/>
      <c r="O111" s="184"/>
      <c r="P111" s="184"/>
      <c r="Q111" s="184"/>
      <c r="R111" s="184"/>
      <c r="S111" s="184"/>
      <c r="T111" s="184"/>
      <c r="U111" s="228"/>
    </row>
    <row r="112" spans="1:21">
      <c r="A112" s="115"/>
      <c r="B112" s="207"/>
      <c r="C112" s="133"/>
      <c r="S112" s="158"/>
      <c r="T112" s="158"/>
      <c r="U112" s="158"/>
    </row>
    <row r="113" spans="1:21">
      <c r="A113" s="115"/>
      <c r="B113" s="207"/>
      <c r="C113" s="133"/>
      <c r="S113" s="158"/>
      <c r="T113" s="158"/>
      <c r="U113" s="158"/>
    </row>
    <row r="114" spans="1:21" ht="15.75" thickBot="1">
      <c r="A114" s="116" t="s">
        <v>510</v>
      </c>
    </row>
    <row r="115" spans="1:21" ht="30.75" thickBot="1">
      <c r="A115" s="216" t="s">
        <v>444</v>
      </c>
      <c r="B115" s="217" t="s">
        <v>445</v>
      </c>
      <c r="C115" s="217"/>
      <c r="D115" s="217"/>
      <c r="E115" s="218" t="s">
        <v>446</v>
      </c>
      <c r="F115" s="219" t="s">
        <v>447</v>
      </c>
      <c r="G115" s="51"/>
      <c r="H115" s="51"/>
      <c r="I115" s="51"/>
      <c r="J115" s="51"/>
      <c r="K115" s="51"/>
      <c r="L115" s="51"/>
      <c r="M115" s="51"/>
      <c r="N115" s="51"/>
      <c r="O115" s="51"/>
      <c r="P115" s="51"/>
      <c r="Q115" s="51"/>
      <c r="R115" s="51"/>
      <c r="S115" s="219" t="s">
        <v>474</v>
      </c>
      <c r="T115" s="219" t="s">
        <v>511</v>
      </c>
      <c r="U115" s="52" t="s">
        <v>512</v>
      </c>
    </row>
    <row r="116" spans="1:21" ht="15">
      <c r="A116" s="222"/>
      <c r="B116" s="132"/>
      <c r="C116" s="132"/>
      <c r="D116" s="132"/>
      <c r="E116" s="223"/>
      <c r="F116" s="223"/>
      <c r="G116" s="44"/>
      <c r="H116" s="44"/>
      <c r="I116" s="44"/>
      <c r="J116" s="44"/>
      <c r="K116" s="44"/>
      <c r="L116" s="44"/>
      <c r="M116" s="44"/>
      <c r="N116" s="44"/>
      <c r="O116" s="44"/>
      <c r="P116" s="44"/>
      <c r="Q116" s="44"/>
      <c r="R116" s="44"/>
      <c r="S116" s="53"/>
      <c r="T116" s="53"/>
      <c r="U116" s="253"/>
    </row>
    <row r="117" spans="1:21">
      <c r="A117" s="175">
        <f>+A110+1</f>
        <v>41</v>
      </c>
      <c r="B117" s="115"/>
      <c r="C117" s="133" t="s">
        <v>513</v>
      </c>
      <c r="D117" s="115"/>
      <c r="E117" s="133" t="s">
        <v>514</v>
      </c>
      <c r="F117" s="207">
        <v>408.1</v>
      </c>
      <c r="G117" s="115"/>
      <c r="H117" s="133"/>
      <c r="I117" s="133"/>
      <c r="J117" s="133"/>
      <c r="K117" s="133"/>
      <c r="L117" s="133"/>
      <c r="M117" s="133"/>
      <c r="N117" s="133"/>
      <c r="P117" s="133"/>
      <c r="Q117" s="266"/>
      <c r="R117" s="117"/>
      <c r="S117" s="245">
        <v>75755957</v>
      </c>
      <c r="T117" s="267">
        <v>10368057</v>
      </c>
      <c r="U117" s="268">
        <f>S117-T117</f>
        <v>65387900</v>
      </c>
    </row>
    <row r="118" spans="1:21">
      <c r="A118" s="175">
        <f>+A117+1</f>
        <v>42</v>
      </c>
      <c r="B118" s="115"/>
      <c r="C118" s="133" t="s">
        <v>515</v>
      </c>
      <c r="D118" s="115"/>
      <c r="E118" s="197" t="s">
        <v>1001</v>
      </c>
      <c r="F118" s="207">
        <v>408.1</v>
      </c>
      <c r="G118" s="133"/>
      <c r="H118" s="133"/>
      <c r="I118" s="133"/>
      <c r="J118" s="133"/>
      <c r="K118" s="133"/>
      <c r="L118" s="133"/>
      <c r="M118" s="133"/>
      <c r="N118" s="133"/>
      <c r="P118" s="133"/>
      <c r="Q118" s="266"/>
      <c r="R118" s="117"/>
      <c r="S118" s="245">
        <v>3389984</v>
      </c>
      <c r="T118" s="269"/>
      <c r="U118" s="268"/>
    </row>
    <row r="119" spans="1:21">
      <c r="A119" s="175">
        <f>+A118+1</f>
        <v>43</v>
      </c>
      <c r="B119" s="115"/>
      <c r="C119" s="133" t="s">
        <v>404</v>
      </c>
      <c r="D119" s="115"/>
      <c r="E119" s="197" t="s">
        <v>1001</v>
      </c>
      <c r="F119" s="207">
        <v>408.1</v>
      </c>
      <c r="G119" s="133"/>
      <c r="H119" s="133"/>
      <c r="I119" s="133"/>
      <c r="J119" s="133"/>
      <c r="K119" s="133"/>
      <c r="L119" s="133"/>
      <c r="M119" s="133"/>
      <c r="N119" s="133"/>
      <c r="P119" s="133"/>
      <c r="Q119" s="266"/>
      <c r="R119" s="117"/>
      <c r="S119" s="245">
        <v>0</v>
      </c>
      <c r="T119" s="270"/>
      <c r="U119" s="268"/>
    </row>
    <row r="120" spans="1:21" ht="15" thickBot="1">
      <c r="A120" s="261"/>
      <c r="B120" s="184"/>
      <c r="C120" s="184"/>
      <c r="D120" s="184"/>
      <c r="E120" s="184"/>
      <c r="F120" s="184"/>
      <c r="G120" s="184"/>
      <c r="H120" s="184"/>
      <c r="I120" s="184"/>
      <c r="J120" s="184"/>
      <c r="K120" s="184"/>
      <c r="L120" s="184"/>
      <c r="M120" s="184"/>
      <c r="N120" s="184"/>
      <c r="O120" s="184"/>
      <c r="P120" s="184"/>
      <c r="Q120" s="184"/>
      <c r="R120" s="184"/>
      <c r="S120" s="184"/>
      <c r="T120" s="184"/>
      <c r="U120" s="228"/>
    </row>
    <row r="121" spans="1:21" ht="15">
      <c r="E121" s="132" t="s">
        <v>991</v>
      </c>
      <c r="F121" s="132"/>
      <c r="S121" s="46" t="s">
        <v>990</v>
      </c>
    </row>
    <row r="123" spans="1:21" ht="15.75" thickBot="1">
      <c r="A123" s="116" t="s">
        <v>516</v>
      </c>
    </row>
    <row r="124" spans="1:21" ht="30.75" thickBot="1">
      <c r="A124" s="216" t="s">
        <v>444</v>
      </c>
      <c r="B124" s="217" t="s">
        <v>445</v>
      </c>
      <c r="C124" s="217"/>
      <c r="D124" s="217"/>
      <c r="E124" s="218" t="s">
        <v>446</v>
      </c>
      <c r="F124" s="219" t="s">
        <v>447</v>
      </c>
      <c r="G124" s="220"/>
      <c r="H124" s="220"/>
      <c r="I124" s="220"/>
      <c r="J124" s="51"/>
      <c r="K124" s="51"/>
      <c r="L124" s="51"/>
      <c r="M124" s="51"/>
      <c r="N124" s="51"/>
      <c r="O124" s="51"/>
      <c r="P124" s="51"/>
      <c r="Q124" s="51"/>
      <c r="R124" s="219" t="s">
        <v>517</v>
      </c>
      <c r="S124" s="271" t="s">
        <v>474</v>
      </c>
      <c r="T124" s="219" t="s">
        <v>460</v>
      </c>
      <c r="U124" s="52"/>
    </row>
    <row r="125" spans="1:21" ht="15">
      <c r="A125" s="230"/>
      <c r="B125" s="231"/>
      <c r="C125" s="171"/>
      <c r="D125" s="171"/>
      <c r="E125" s="232"/>
      <c r="F125" s="232"/>
      <c r="G125" s="171"/>
      <c r="H125" s="171"/>
      <c r="I125" s="171"/>
      <c r="J125" s="272"/>
      <c r="K125" s="233"/>
      <c r="L125" s="171"/>
      <c r="M125" s="233"/>
      <c r="N125" s="233"/>
      <c r="O125" s="233"/>
      <c r="P125" s="273"/>
      <c r="Q125" s="273"/>
      <c r="R125" s="171"/>
      <c r="S125" s="171"/>
      <c r="T125" s="171"/>
      <c r="U125" s="196"/>
    </row>
    <row r="126" spans="1:21" ht="15">
      <c r="A126" s="175">
        <f>+A119+1</f>
        <v>44</v>
      </c>
      <c r="B126" s="116"/>
      <c r="C126" s="46" t="s">
        <v>518</v>
      </c>
      <c r="E126" s="133" t="s">
        <v>519</v>
      </c>
      <c r="F126" s="207">
        <v>427</v>
      </c>
      <c r="G126" s="115"/>
      <c r="J126" s="158"/>
      <c r="K126" s="274"/>
      <c r="M126" s="274"/>
      <c r="N126" s="274"/>
      <c r="O126" s="274"/>
      <c r="P126" s="235"/>
      <c r="Q126" s="235"/>
      <c r="R126" s="275"/>
      <c r="S126" s="198">
        <v>20902902</v>
      </c>
      <c r="T126" s="276"/>
      <c r="U126" s="224"/>
    </row>
    <row r="127" spans="1:21" ht="15">
      <c r="A127" s="175">
        <f t="shared" ref="A127:A134" si="7">+A126+1</f>
        <v>45</v>
      </c>
      <c r="B127" s="116"/>
      <c r="C127" s="46" t="s">
        <v>520</v>
      </c>
      <c r="E127" s="133" t="s">
        <v>521</v>
      </c>
      <c r="F127" s="207">
        <v>428</v>
      </c>
      <c r="J127" s="158"/>
      <c r="K127" s="274"/>
      <c r="M127" s="274"/>
      <c r="N127" s="274"/>
      <c r="O127" s="274"/>
      <c r="P127" s="235"/>
      <c r="Q127" s="235"/>
      <c r="R127" s="275"/>
      <c r="S127" s="198">
        <v>880006</v>
      </c>
      <c r="T127" s="276"/>
      <c r="U127" s="224"/>
    </row>
    <row r="128" spans="1:21" ht="15">
      <c r="A128" s="175">
        <f t="shared" si="7"/>
        <v>46</v>
      </c>
      <c r="B128" s="116"/>
      <c r="C128" s="46" t="s">
        <v>522</v>
      </c>
      <c r="E128" s="133" t="s">
        <v>523</v>
      </c>
      <c r="F128" s="207">
        <v>428.1</v>
      </c>
      <c r="J128" s="158"/>
      <c r="K128" s="274"/>
      <c r="M128" s="274"/>
      <c r="N128" s="274"/>
      <c r="O128" s="274"/>
      <c r="P128" s="235"/>
      <c r="Q128" s="235"/>
      <c r="R128" s="275"/>
      <c r="S128" s="198">
        <v>2827336</v>
      </c>
      <c r="T128" s="276"/>
      <c r="U128" s="224"/>
    </row>
    <row r="129" spans="1:21" ht="15">
      <c r="A129" s="175">
        <f t="shared" si="7"/>
        <v>47</v>
      </c>
      <c r="B129" s="116"/>
      <c r="C129" s="46" t="s">
        <v>524</v>
      </c>
      <c r="E129" s="133" t="s">
        <v>525</v>
      </c>
      <c r="F129" s="207">
        <v>429</v>
      </c>
      <c r="J129" s="158"/>
      <c r="K129" s="274"/>
      <c r="M129" s="274"/>
      <c r="N129" s="274"/>
      <c r="O129" s="274"/>
      <c r="P129" s="235"/>
      <c r="Q129" s="235"/>
      <c r="R129" s="275"/>
      <c r="S129" s="198">
        <v>0</v>
      </c>
      <c r="T129" s="276"/>
      <c r="U129" s="224"/>
    </row>
    <row r="130" spans="1:21" ht="15">
      <c r="A130" s="175">
        <f t="shared" si="7"/>
        <v>48</v>
      </c>
      <c r="B130" s="116"/>
      <c r="C130" s="46" t="s">
        <v>526</v>
      </c>
      <c r="E130" s="133" t="s">
        <v>527</v>
      </c>
      <c r="F130" s="207">
        <v>429.1</v>
      </c>
      <c r="J130" s="158"/>
      <c r="K130" s="274"/>
      <c r="M130" s="274"/>
      <c r="N130" s="274"/>
      <c r="O130" s="274"/>
      <c r="P130" s="235"/>
      <c r="Q130" s="235"/>
      <c r="R130" s="275"/>
      <c r="S130" s="198">
        <v>0</v>
      </c>
      <c r="T130" s="276"/>
      <c r="U130" s="224"/>
    </row>
    <row r="131" spans="1:21" ht="15">
      <c r="A131" s="175">
        <f t="shared" si="7"/>
        <v>49</v>
      </c>
      <c r="B131" s="116"/>
      <c r="C131" s="46" t="s">
        <v>528</v>
      </c>
      <c r="E131" s="133" t="s">
        <v>529</v>
      </c>
      <c r="F131" s="207">
        <v>430</v>
      </c>
      <c r="J131" s="158"/>
      <c r="K131" s="274"/>
      <c r="M131" s="274"/>
      <c r="N131" s="274"/>
      <c r="O131" s="274"/>
      <c r="P131" s="235"/>
      <c r="Q131" s="235"/>
      <c r="R131" s="275"/>
      <c r="S131" s="198">
        <v>0</v>
      </c>
      <c r="T131" s="276"/>
      <c r="U131" s="224"/>
    </row>
    <row r="132" spans="1:21" ht="15">
      <c r="A132" s="175">
        <f>+A131+1</f>
        <v>50</v>
      </c>
      <c r="B132" s="116"/>
      <c r="C132" s="46" t="s">
        <v>530</v>
      </c>
      <c r="E132" s="133"/>
      <c r="F132" s="207"/>
      <c r="J132" s="158"/>
      <c r="K132" s="274"/>
      <c r="M132" s="274"/>
      <c r="N132" s="274"/>
      <c r="O132" s="274"/>
      <c r="P132" s="235"/>
      <c r="Q132" s="235"/>
      <c r="R132" s="275"/>
      <c r="S132" s="235">
        <f>+SUM(S126:S131)</f>
        <v>24610244</v>
      </c>
      <c r="T132" s="276"/>
      <c r="U132" s="224"/>
    </row>
    <row r="133" spans="1:21" ht="15">
      <c r="A133" s="175">
        <f>+A132+1</f>
        <v>51</v>
      </c>
      <c r="B133" s="116"/>
      <c r="C133" s="46" t="s">
        <v>101</v>
      </c>
      <c r="E133" s="122" t="s">
        <v>531</v>
      </c>
      <c r="F133" s="204" t="s">
        <v>532</v>
      </c>
      <c r="J133" s="158"/>
      <c r="K133" s="274"/>
      <c r="M133" s="274"/>
      <c r="N133" s="274"/>
      <c r="O133" s="274"/>
      <c r="P133" s="235"/>
      <c r="Q133" s="235"/>
      <c r="R133" s="275"/>
      <c r="S133" s="198">
        <v>0</v>
      </c>
      <c r="T133" s="276"/>
      <c r="U133" s="224"/>
    </row>
    <row r="134" spans="1:21">
      <c r="A134" s="175">
        <f t="shared" si="7"/>
        <v>52</v>
      </c>
      <c r="B134" s="115"/>
      <c r="C134" s="122" t="s">
        <v>104</v>
      </c>
      <c r="E134" s="277" t="s">
        <v>533</v>
      </c>
      <c r="F134" s="204" t="s">
        <v>534</v>
      </c>
      <c r="K134" s="278"/>
      <c r="L134" s="133"/>
      <c r="M134" s="237"/>
      <c r="N134" s="237"/>
      <c r="O134" s="237"/>
      <c r="Q134" s="237"/>
      <c r="R134" s="198">
        <v>-473503693</v>
      </c>
      <c r="S134" s="198">
        <v>-616568758</v>
      </c>
      <c r="T134" s="235">
        <f>+(S134+R134)/2</f>
        <v>-545036225.5</v>
      </c>
      <c r="U134" s="236"/>
    </row>
    <row r="135" spans="1:21" ht="15">
      <c r="A135" s="175">
        <f t="shared" ref="A135:A143" si="8">+A134+1</f>
        <v>53</v>
      </c>
      <c r="B135" s="115"/>
      <c r="C135" s="122" t="s">
        <v>535</v>
      </c>
      <c r="E135" s="277" t="s">
        <v>536</v>
      </c>
      <c r="F135" s="204">
        <v>219</v>
      </c>
      <c r="K135" s="279"/>
      <c r="L135" s="237"/>
      <c r="M135" s="280"/>
      <c r="N135" s="280"/>
      <c r="O135" s="280"/>
      <c r="P135" s="280"/>
      <c r="Q135" s="117"/>
      <c r="R135" s="198">
        <v>36940168</v>
      </c>
      <c r="S135" s="198">
        <v>42119727</v>
      </c>
      <c r="T135" s="235">
        <f>+(S135+R135)/2</f>
        <v>39529947.5</v>
      </c>
      <c r="U135" s="236"/>
    </row>
    <row r="136" spans="1:21" ht="15">
      <c r="A136" s="175">
        <f t="shared" si="8"/>
        <v>54</v>
      </c>
      <c r="B136" s="115"/>
      <c r="C136" s="122" t="s">
        <v>537</v>
      </c>
      <c r="E136" s="277" t="s">
        <v>944</v>
      </c>
      <c r="F136" s="207">
        <v>216.1</v>
      </c>
      <c r="K136" s="281"/>
      <c r="L136" s="237"/>
      <c r="R136" s="198">
        <v>0</v>
      </c>
      <c r="S136" s="198">
        <v>0</v>
      </c>
      <c r="T136" s="235">
        <f>+(R136+S136)/2</f>
        <v>0</v>
      </c>
      <c r="U136" s="224"/>
    </row>
    <row r="137" spans="1:21">
      <c r="A137" s="175">
        <f t="shared" si="8"/>
        <v>55</v>
      </c>
      <c r="B137" s="115"/>
      <c r="C137" s="122" t="s">
        <v>108</v>
      </c>
      <c r="E137" s="277" t="s">
        <v>961</v>
      </c>
      <c r="F137" s="204" t="s">
        <v>538</v>
      </c>
      <c r="R137" s="198">
        <v>-579757991</v>
      </c>
      <c r="S137" s="198">
        <v>-579829032</v>
      </c>
      <c r="T137" s="235">
        <f>+(R137+S137)/2</f>
        <v>-579793511.5</v>
      </c>
      <c r="U137" s="224"/>
    </row>
    <row r="138" spans="1:21">
      <c r="A138" s="175">
        <f>+A137+1</f>
        <v>56</v>
      </c>
      <c r="B138" s="115"/>
      <c r="C138" s="122" t="s">
        <v>814</v>
      </c>
      <c r="E138" s="277" t="s">
        <v>815</v>
      </c>
      <c r="F138" s="204">
        <v>181</v>
      </c>
      <c r="R138" s="198">
        <v>6021144</v>
      </c>
      <c r="S138" s="198">
        <v>6093211</v>
      </c>
      <c r="T138" s="235">
        <f>+(R138+S138)/2</f>
        <v>6057177.5</v>
      </c>
      <c r="U138" s="224"/>
    </row>
    <row r="139" spans="1:21">
      <c r="A139" s="175">
        <f>+A138+1</f>
        <v>57</v>
      </c>
      <c r="B139" s="115"/>
      <c r="C139" s="122" t="s">
        <v>539</v>
      </c>
      <c r="E139" s="277" t="s">
        <v>540</v>
      </c>
      <c r="F139" s="204">
        <v>189</v>
      </c>
      <c r="R139" s="198">
        <v>9955162</v>
      </c>
      <c r="S139" s="198">
        <v>7127825</v>
      </c>
      <c r="T139" s="235">
        <f>+(S139+R139)/2</f>
        <v>8541493.5</v>
      </c>
      <c r="U139" s="224"/>
    </row>
    <row r="140" spans="1:21">
      <c r="A140" s="175">
        <f t="shared" si="8"/>
        <v>58</v>
      </c>
      <c r="B140" s="115"/>
      <c r="C140" s="122" t="s">
        <v>541</v>
      </c>
      <c r="E140" s="277" t="s">
        <v>542</v>
      </c>
      <c r="F140" s="204">
        <v>225</v>
      </c>
      <c r="R140" s="198">
        <v>0</v>
      </c>
      <c r="S140" s="198">
        <v>0</v>
      </c>
      <c r="T140" s="235">
        <f t="shared" ref="T140:T141" si="9">+(S140+R140)/2</f>
        <v>0</v>
      </c>
      <c r="U140" s="224"/>
    </row>
    <row r="141" spans="1:21">
      <c r="A141" s="175">
        <f t="shared" si="8"/>
        <v>59</v>
      </c>
      <c r="B141" s="115"/>
      <c r="C141" s="122" t="s">
        <v>543</v>
      </c>
      <c r="E141" s="277" t="s">
        <v>544</v>
      </c>
      <c r="F141" s="204">
        <v>226</v>
      </c>
      <c r="R141" s="198">
        <v>2687948</v>
      </c>
      <c r="S141" s="198">
        <v>2596573</v>
      </c>
      <c r="T141" s="235">
        <f t="shared" si="9"/>
        <v>2642260.5</v>
      </c>
      <c r="U141" s="224"/>
    </row>
    <row r="142" spans="1:21">
      <c r="A142" s="175">
        <f t="shared" si="8"/>
        <v>60</v>
      </c>
      <c r="B142" s="115"/>
      <c r="C142" s="122" t="s">
        <v>545</v>
      </c>
      <c r="E142" s="277" t="s">
        <v>546</v>
      </c>
      <c r="F142" s="204">
        <v>257</v>
      </c>
      <c r="R142" s="198">
        <v>0</v>
      </c>
      <c r="S142" s="198">
        <v>0</v>
      </c>
      <c r="T142" s="235">
        <f>+(R142+S142)/2</f>
        <v>0</v>
      </c>
      <c r="U142" s="224"/>
    </row>
    <row r="143" spans="1:21">
      <c r="A143" s="175">
        <f t="shared" si="8"/>
        <v>61</v>
      </c>
      <c r="B143" s="115"/>
      <c r="C143" s="122" t="s">
        <v>813</v>
      </c>
      <c r="E143" s="282" t="s">
        <v>547</v>
      </c>
      <c r="F143" s="204" t="s">
        <v>548</v>
      </c>
      <c r="R143" s="235">
        <f>+'1C - ADIT Prior Year'!F78</f>
        <v>0</v>
      </c>
      <c r="S143" s="235">
        <f>+'1A - ADIT'!F83</f>
        <v>0</v>
      </c>
      <c r="T143" s="235">
        <f>+(R143+S143)/2</f>
        <v>0</v>
      </c>
      <c r="U143" s="224"/>
    </row>
    <row r="144" spans="1:21">
      <c r="A144" s="175">
        <f>+A143+1</f>
        <v>62</v>
      </c>
      <c r="B144" s="115"/>
      <c r="C144" s="122" t="s">
        <v>549</v>
      </c>
      <c r="E144" s="283" t="s">
        <v>1002</v>
      </c>
      <c r="F144" s="204">
        <v>176</v>
      </c>
      <c r="R144" s="198">
        <v>100897</v>
      </c>
      <c r="S144" s="198">
        <v>0</v>
      </c>
      <c r="T144" s="235">
        <f t="shared" ref="T144:T145" si="10">+(R144+S144)/2</f>
        <v>50448.5</v>
      </c>
      <c r="U144" s="224"/>
    </row>
    <row r="145" spans="1:21">
      <c r="A145" s="175">
        <f>+A144+1</f>
        <v>63</v>
      </c>
      <c r="B145" s="115"/>
      <c r="C145" s="122" t="s">
        <v>550</v>
      </c>
      <c r="E145" s="282" t="s">
        <v>952</v>
      </c>
      <c r="F145" s="204">
        <v>245</v>
      </c>
      <c r="R145" s="198">
        <v>0</v>
      </c>
      <c r="S145" s="198">
        <v>0</v>
      </c>
      <c r="T145" s="235">
        <f t="shared" si="10"/>
        <v>0</v>
      </c>
      <c r="U145" s="224"/>
    </row>
    <row r="146" spans="1:21" ht="15" thickBot="1">
      <c r="A146" s="175">
        <f>+A145+1</f>
        <v>64</v>
      </c>
      <c r="B146" s="185"/>
      <c r="C146" s="284" t="s">
        <v>114</v>
      </c>
      <c r="D146" s="184"/>
      <c r="E146" s="285" t="s">
        <v>551</v>
      </c>
      <c r="F146" s="286">
        <v>204</v>
      </c>
      <c r="G146" s="184"/>
      <c r="H146" s="184"/>
      <c r="I146" s="184"/>
      <c r="J146" s="184"/>
      <c r="K146" s="184"/>
      <c r="L146" s="184"/>
      <c r="M146" s="184"/>
      <c r="N146" s="184"/>
      <c r="O146" s="184"/>
      <c r="P146" s="184"/>
      <c r="Q146" s="184"/>
      <c r="R146" s="287">
        <v>0</v>
      </c>
      <c r="S146" s="287">
        <v>0</v>
      </c>
      <c r="T146" s="288">
        <v>0</v>
      </c>
      <c r="U146" s="228"/>
    </row>
    <row r="148" spans="1:21" ht="15">
      <c r="A148" s="132"/>
    </row>
    <row r="149" spans="1:21" ht="15.75" thickBot="1">
      <c r="A149" s="116" t="s">
        <v>552</v>
      </c>
    </row>
    <row r="150" spans="1:21" ht="30.75" thickBot="1">
      <c r="A150" s="216" t="s">
        <v>444</v>
      </c>
      <c r="B150" s="217" t="s">
        <v>445</v>
      </c>
      <c r="C150" s="217"/>
      <c r="D150" s="217"/>
      <c r="E150" s="218" t="s">
        <v>446</v>
      </c>
      <c r="F150" s="219" t="s">
        <v>447</v>
      </c>
      <c r="G150" s="51"/>
      <c r="H150" s="51"/>
      <c r="I150" s="51"/>
      <c r="J150" s="51"/>
      <c r="K150" s="51"/>
      <c r="L150" s="51"/>
      <c r="M150" s="51"/>
      <c r="N150" s="51"/>
      <c r="O150" s="51"/>
      <c r="P150" s="51"/>
      <c r="Q150" s="51"/>
      <c r="R150" s="51"/>
      <c r="S150" s="219" t="s">
        <v>553</v>
      </c>
      <c r="T150" s="219" t="s">
        <v>554</v>
      </c>
      <c r="U150" s="52" t="s">
        <v>555</v>
      </c>
    </row>
    <row r="151" spans="1:21" ht="15">
      <c r="A151" s="175" t="s">
        <v>131</v>
      </c>
      <c r="B151" s="289" t="s">
        <v>132</v>
      </c>
      <c r="E151" s="122"/>
      <c r="F151" s="122"/>
      <c r="U151" s="224"/>
    </row>
    <row r="152" spans="1:21" ht="15">
      <c r="A152" s="175"/>
      <c r="B152" s="289"/>
      <c r="E152" s="122"/>
      <c r="F152" s="122"/>
      <c r="G152" s="158"/>
      <c r="H152" s="122"/>
      <c r="I152" s="122"/>
      <c r="J152" s="122"/>
      <c r="K152" s="122"/>
      <c r="L152" s="122"/>
      <c r="M152" s="122"/>
      <c r="N152" s="122"/>
      <c r="O152" s="122"/>
      <c r="P152" s="122"/>
      <c r="Q152" s="122"/>
      <c r="R152" s="122"/>
      <c r="S152" s="44" t="s">
        <v>556</v>
      </c>
      <c r="T152" s="44"/>
      <c r="U152" s="290"/>
    </row>
    <row r="153" spans="1:21">
      <c r="A153" s="175">
        <f>+A146+1</f>
        <v>65</v>
      </c>
      <c r="B153" s="115"/>
      <c r="C153" s="133" t="str">
        <f>+'Appendix A'!C211</f>
        <v>SIT=State Income Tax Rate or Composite</v>
      </c>
      <c r="D153" s="291"/>
      <c r="E153" s="133"/>
      <c r="F153" s="133"/>
      <c r="G153" s="133"/>
      <c r="H153" s="133"/>
      <c r="I153" s="133"/>
      <c r="J153" s="133"/>
      <c r="K153" s="133"/>
      <c r="L153" s="133"/>
      <c r="M153" s="133"/>
      <c r="N153" s="133"/>
      <c r="O153" s="133"/>
      <c r="P153" s="133"/>
      <c r="Q153" s="133"/>
      <c r="R153" s="133"/>
      <c r="S153" s="292">
        <v>0</v>
      </c>
      <c r="T153" s="293"/>
      <c r="U153" s="294"/>
    </row>
    <row r="154" spans="1:21" ht="15" thickBot="1">
      <c r="A154" s="182">
        <f>+A153+1</f>
        <v>66</v>
      </c>
      <c r="B154" s="184"/>
      <c r="C154" s="184" t="s">
        <v>557</v>
      </c>
      <c r="D154" s="184"/>
      <c r="E154" s="184"/>
      <c r="F154" s="184"/>
      <c r="G154" s="184"/>
      <c r="H154" s="184"/>
      <c r="I154" s="184"/>
      <c r="J154" s="184"/>
      <c r="K154" s="184"/>
      <c r="L154" s="184"/>
      <c r="M154" s="184"/>
      <c r="N154" s="184"/>
      <c r="O154" s="184"/>
      <c r="P154" s="184"/>
      <c r="Q154" s="184"/>
      <c r="R154" s="184"/>
      <c r="S154" s="295">
        <v>1.6899999999999998E-2</v>
      </c>
      <c r="T154" s="184"/>
      <c r="U154" s="228"/>
    </row>
    <row r="155" spans="1:21" ht="15">
      <c r="S155" s="132" t="s">
        <v>992</v>
      </c>
    </row>
    <row r="157" spans="1:21" ht="15.75" thickBot="1">
      <c r="A157" s="116" t="s">
        <v>558</v>
      </c>
    </row>
    <row r="158" spans="1:21" ht="30.75" thickBot="1">
      <c r="A158" s="216" t="s">
        <v>444</v>
      </c>
      <c r="B158" s="217" t="s">
        <v>445</v>
      </c>
      <c r="C158" s="217"/>
      <c r="D158" s="217"/>
      <c r="E158" s="218" t="s">
        <v>446</v>
      </c>
      <c r="F158" s="219" t="s">
        <v>447</v>
      </c>
      <c r="G158" s="220"/>
      <c r="H158" s="51"/>
      <c r="I158" s="51"/>
      <c r="J158" s="51"/>
      <c r="K158" s="51"/>
      <c r="L158" s="51"/>
      <c r="M158" s="51"/>
      <c r="N158" s="51"/>
      <c r="O158" s="51"/>
      <c r="P158" s="51"/>
      <c r="Q158" s="51"/>
      <c r="R158" s="51"/>
      <c r="S158" s="271" t="s">
        <v>474</v>
      </c>
      <c r="T158" s="730"/>
      <c r="U158" s="731"/>
    </row>
    <row r="159" spans="1:21" ht="15">
      <c r="A159" s="175"/>
      <c r="B159" s="116"/>
      <c r="C159" s="115"/>
      <c r="D159" s="115"/>
      <c r="E159" s="115"/>
      <c r="F159" s="115"/>
      <c r="H159" s="115"/>
      <c r="I159" s="115"/>
      <c r="J159" s="115"/>
      <c r="K159" s="115"/>
      <c r="L159" s="115"/>
      <c r="M159" s="115"/>
      <c r="N159" s="115"/>
      <c r="O159" s="115"/>
      <c r="P159" s="115"/>
      <c r="Q159" s="115"/>
      <c r="R159" s="115"/>
      <c r="S159" s="115"/>
      <c r="U159" s="224"/>
    </row>
    <row r="160" spans="1:21" ht="15">
      <c r="A160" s="175">
        <f>+A154+1</f>
        <v>67</v>
      </c>
      <c r="B160" s="115"/>
      <c r="C160" s="133" t="s">
        <v>559</v>
      </c>
      <c r="D160" s="115"/>
      <c r="E160" s="197" t="s">
        <v>993</v>
      </c>
      <c r="F160" s="207">
        <v>411.4</v>
      </c>
      <c r="G160" s="115"/>
      <c r="H160" s="133"/>
      <c r="I160" s="133"/>
      <c r="J160" s="133"/>
      <c r="K160" s="133"/>
      <c r="L160" s="133"/>
      <c r="M160" s="133"/>
      <c r="N160" s="133"/>
      <c r="O160" s="133"/>
      <c r="P160" s="133"/>
      <c r="Q160" s="133"/>
      <c r="R160" s="133"/>
      <c r="S160" s="245">
        <v>-119641</v>
      </c>
      <c r="T160" s="728"/>
      <c r="U160" s="729"/>
    </row>
    <row r="161" spans="1:21" ht="15">
      <c r="A161" s="175">
        <f>+A160+1</f>
        <v>68</v>
      </c>
      <c r="B161" s="115"/>
      <c r="C161" s="133" t="s">
        <v>560</v>
      </c>
      <c r="D161" s="115"/>
      <c r="E161" s="197" t="s">
        <v>993</v>
      </c>
      <c r="F161" s="207">
        <v>411.4</v>
      </c>
      <c r="G161" s="115"/>
      <c r="H161" s="133"/>
      <c r="I161" s="133"/>
      <c r="J161" s="133"/>
      <c r="K161" s="133"/>
      <c r="L161" s="133"/>
      <c r="M161" s="133"/>
      <c r="N161" s="133"/>
      <c r="O161" s="133"/>
      <c r="P161" s="133"/>
      <c r="Q161" s="133"/>
      <c r="R161" s="133"/>
      <c r="S161" s="245">
        <v>-64559</v>
      </c>
      <c r="T161" s="53"/>
      <c r="U161" s="253"/>
    </row>
    <row r="162" spans="1:21" ht="15">
      <c r="A162" s="182">
        <f>+A161+1</f>
        <v>69</v>
      </c>
      <c r="B162" s="185"/>
      <c r="C162" s="226" t="s">
        <v>561</v>
      </c>
      <c r="D162" s="185"/>
      <c r="E162" s="226" t="s">
        <v>969</v>
      </c>
      <c r="F162" s="209"/>
      <c r="G162" s="185"/>
      <c r="H162" s="185"/>
      <c r="I162" s="185"/>
      <c r="J162" s="185"/>
      <c r="K162" s="185"/>
      <c r="L162" s="185"/>
      <c r="M162" s="185"/>
      <c r="N162" s="185"/>
      <c r="O162" s="185"/>
      <c r="P162" s="185"/>
      <c r="Q162" s="185"/>
      <c r="R162" s="185"/>
      <c r="S162" s="296">
        <v>232055</v>
      </c>
      <c r="T162" s="297"/>
      <c r="U162" s="298"/>
    </row>
    <row r="163" spans="1:21" ht="15">
      <c r="A163" s="115"/>
      <c r="B163" s="115"/>
      <c r="C163" s="133"/>
      <c r="D163" s="115"/>
      <c r="E163" s="133"/>
      <c r="F163" s="207"/>
      <c r="G163" s="133"/>
      <c r="H163" s="115"/>
      <c r="I163" s="115"/>
      <c r="J163" s="115"/>
      <c r="K163" s="115"/>
      <c r="L163" s="115"/>
      <c r="M163" s="115"/>
      <c r="N163" s="115"/>
      <c r="O163" s="115"/>
      <c r="P163" s="115"/>
      <c r="Q163" s="115"/>
      <c r="R163" s="115"/>
      <c r="S163" s="275"/>
      <c r="T163" s="53"/>
      <c r="U163" s="53"/>
    </row>
    <row r="164" spans="1:21" ht="15">
      <c r="A164" s="115"/>
      <c r="B164" s="115"/>
      <c r="C164" s="44"/>
      <c r="D164" s="115"/>
      <c r="E164" s="115"/>
      <c r="F164" s="115"/>
      <c r="G164" s="115"/>
      <c r="H164" s="115"/>
      <c r="I164" s="115"/>
      <c r="J164" s="115"/>
      <c r="K164" s="115"/>
      <c r="L164" s="115"/>
      <c r="M164" s="115"/>
      <c r="N164" s="115"/>
      <c r="O164" s="115"/>
      <c r="P164" s="115"/>
      <c r="Q164" s="115"/>
      <c r="R164" s="115"/>
    </row>
    <row r="165" spans="1:21" ht="15.75" thickBot="1">
      <c r="A165" s="116" t="s">
        <v>562</v>
      </c>
    </row>
    <row r="166" spans="1:21" ht="30.75" thickBot="1">
      <c r="A166" s="164" t="s">
        <v>444</v>
      </c>
      <c r="B166" s="165" t="s">
        <v>445</v>
      </c>
      <c r="C166" s="165"/>
      <c r="D166" s="165"/>
      <c r="E166" s="218" t="s">
        <v>446</v>
      </c>
      <c r="F166" s="219" t="s">
        <v>447</v>
      </c>
      <c r="G166" s="51" t="s">
        <v>448</v>
      </c>
      <c r="H166" s="51" t="s">
        <v>449</v>
      </c>
      <c r="I166" s="51" t="s">
        <v>450</v>
      </c>
      <c r="J166" s="51" t="s">
        <v>451</v>
      </c>
      <c r="K166" s="51" t="s">
        <v>452</v>
      </c>
      <c r="L166" s="51" t="s">
        <v>335</v>
      </c>
      <c r="M166" s="51" t="s">
        <v>453</v>
      </c>
      <c r="N166" s="51" t="s">
        <v>454</v>
      </c>
      <c r="O166" s="51" t="s">
        <v>455</v>
      </c>
      <c r="P166" s="51" t="s">
        <v>456</v>
      </c>
      <c r="Q166" s="51" t="s">
        <v>457</v>
      </c>
      <c r="R166" s="51" t="s">
        <v>458</v>
      </c>
      <c r="S166" s="51" t="s">
        <v>459</v>
      </c>
      <c r="T166" s="219" t="s">
        <v>460</v>
      </c>
      <c r="U166" s="52"/>
    </row>
    <row r="167" spans="1:21" ht="15">
      <c r="A167" s="254"/>
      <c r="B167" s="170"/>
      <c r="C167" s="170"/>
      <c r="D167" s="170"/>
      <c r="E167" s="299"/>
      <c r="F167" s="255"/>
      <c r="G167" s="256"/>
      <c r="H167" s="256"/>
      <c r="I167" s="256"/>
      <c r="J167" s="256"/>
      <c r="K167" s="256"/>
      <c r="L167" s="256"/>
      <c r="M167" s="256"/>
      <c r="N167" s="256"/>
      <c r="O167" s="256"/>
      <c r="P167" s="256"/>
      <c r="Q167" s="256"/>
      <c r="R167" s="256"/>
      <c r="S167" s="257"/>
      <c r="T167" s="257"/>
      <c r="U167" s="300"/>
    </row>
    <row r="168" spans="1:21">
      <c r="A168" s="175">
        <f>+A162+1</f>
        <v>70</v>
      </c>
      <c r="C168" s="46" t="str">
        <f>+'Appendix A'!C257</f>
        <v>Excluded Transmission Facilities</v>
      </c>
      <c r="E168" s="197" t="s">
        <v>1000</v>
      </c>
      <c r="F168" s="207" t="s">
        <v>468</v>
      </c>
      <c r="G168" s="198">
        <v>2461408</v>
      </c>
      <c r="H168" s="198">
        <v>2461408</v>
      </c>
      <c r="I168" s="198">
        <v>2461408</v>
      </c>
      <c r="J168" s="198">
        <v>2461408</v>
      </c>
      <c r="K168" s="198">
        <v>2461408</v>
      </c>
      <c r="L168" s="198">
        <v>2461408</v>
      </c>
      <c r="M168" s="198">
        <v>2461408</v>
      </c>
      <c r="N168" s="198">
        <v>2461408</v>
      </c>
      <c r="O168" s="198">
        <v>2461408</v>
      </c>
      <c r="P168" s="198">
        <v>2461408</v>
      </c>
      <c r="Q168" s="198">
        <v>2461408</v>
      </c>
      <c r="R168" s="198">
        <v>2461408</v>
      </c>
      <c r="S168" s="198">
        <v>2461408</v>
      </c>
      <c r="T168" s="98">
        <f>+(R168+S168)/2</f>
        <v>2461408</v>
      </c>
      <c r="U168" s="224"/>
    </row>
    <row r="169" spans="1:21" ht="15" thickBot="1">
      <c r="A169" s="261"/>
      <c r="B169" s="184"/>
      <c r="C169" s="184"/>
      <c r="D169" s="184"/>
      <c r="E169" s="184"/>
      <c r="F169" s="184"/>
      <c r="G169" s="184"/>
      <c r="H169" s="184"/>
      <c r="I169" s="184"/>
      <c r="J169" s="184"/>
      <c r="K169" s="184"/>
      <c r="L169" s="184"/>
      <c r="M169" s="184"/>
      <c r="N169" s="184"/>
      <c r="O169" s="184"/>
      <c r="P169" s="184"/>
      <c r="Q169" s="184"/>
      <c r="R169" s="184"/>
      <c r="S169" s="184"/>
      <c r="T169" s="184"/>
      <c r="U169" s="228"/>
    </row>
    <row r="171" spans="1:21">
      <c r="A171" s="115"/>
      <c r="B171" s="115"/>
      <c r="C171" s="115"/>
      <c r="D171" s="115"/>
      <c r="E171" s="115"/>
      <c r="F171" s="115"/>
      <c r="G171" s="115"/>
      <c r="H171" s="115"/>
      <c r="I171" s="115"/>
      <c r="J171" s="115"/>
      <c r="K171" s="115"/>
      <c r="L171" s="115"/>
      <c r="M171" s="115"/>
      <c r="N171" s="115"/>
      <c r="O171" s="115"/>
      <c r="P171" s="115"/>
      <c r="Q171" s="115"/>
      <c r="R171" s="115"/>
    </row>
    <row r="172" spans="1:21" ht="15.75" thickBot="1">
      <c r="A172" s="116" t="s">
        <v>184</v>
      </c>
    </row>
    <row r="173" spans="1:21" ht="30.75" thickBot="1">
      <c r="A173" s="164" t="s">
        <v>444</v>
      </c>
      <c r="B173" s="165" t="s">
        <v>445</v>
      </c>
      <c r="C173" s="165"/>
      <c r="D173" s="165"/>
      <c r="E173" s="218" t="s">
        <v>446</v>
      </c>
      <c r="F173" s="219" t="s">
        <v>447</v>
      </c>
      <c r="G173" s="193"/>
      <c r="H173" s="193"/>
      <c r="I173" s="193"/>
      <c r="J173" s="193"/>
      <c r="K173" s="193"/>
      <c r="L173" s="193"/>
      <c r="M173" s="193"/>
      <c r="N173" s="193"/>
      <c r="O173" s="193"/>
      <c r="P173" s="193"/>
      <c r="Q173" s="193"/>
      <c r="R173" s="193"/>
      <c r="S173" s="166" t="s">
        <v>474</v>
      </c>
      <c r="T173" s="732"/>
      <c r="U173" s="733"/>
    </row>
    <row r="174" spans="1:21" ht="15">
      <c r="A174" s="254"/>
      <c r="B174" s="170"/>
      <c r="C174" s="170"/>
      <c r="D174" s="170"/>
      <c r="E174" s="255"/>
      <c r="F174" s="255"/>
      <c r="G174" s="256"/>
      <c r="H174" s="256"/>
      <c r="I174" s="256"/>
      <c r="J174" s="256"/>
      <c r="K174" s="256"/>
      <c r="L174" s="256"/>
      <c r="M174" s="256"/>
      <c r="N174" s="256"/>
      <c r="O174" s="256"/>
      <c r="P174" s="256"/>
      <c r="Q174" s="256"/>
      <c r="R174" s="256"/>
      <c r="S174" s="257"/>
      <c r="T174" s="257"/>
      <c r="U174" s="258"/>
    </row>
    <row r="175" spans="1:21" ht="15">
      <c r="A175" s="175">
        <f>+A168+1</f>
        <v>71</v>
      </c>
      <c r="B175" s="115"/>
      <c r="C175" s="133" t="str">
        <f>+'Appendix A'!C282</f>
        <v>Facility Credits under Section 30.9 of the PJM OATT</v>
      </c>
      <c r="E175" s="115"/>
      <c r="F175" s="204" t="str">
        <f>"(Appendix A, Note "&amp;'Appendix A'!B314&amp;")"</f>
        <v>(Appendix A, Note S)</v>
      </c>
      <c r="G175" s="207"/>
      <c r="H175" s="115"/>
      <c r="I175" s="115"/>
      <c r="J175" s="115"/>
      <c r="K175" s="115"/>
      <c r="L175" s="115"/>
      <c r="M175" s="115"/>
      <c r="N175" s="115"/>
      <c r="O175" s="115"/>
      <c r="P175" s="115"/>
      <c r="Q175" s="115"/>
      <c r="R175" s="115"/>
      <c r="S175" s="301">
        <v>0</v>
      </c>
      <c r="T175" s="728"/>
      <c r="U175" s="729"/>
    </row>
    <row r="176" spans="1:21" ht="15" thickBot="1">
      <c r="A176" s="182"/>
      <c r="B176" s="185"/>
      <c r="C176" s="185"/>
      <c r="D176" s="185"/>
      <c r="E176" s="185"/>
      <c r="F176" s="185"/>
      <c r="G176" s="185"/>
      <c r="H176" s="185"/>
      <c r="I176" s="185"/>
      <c r="J176" s="185"/>
      <c r="K176" s="185"/>
      <c r="L176" s="185"/>
      <c r="M176" s="185"/>
      <c r="N176" s="185"/>
      <c r="O176" s="185"/>
      <c r="P176" s="185"/>
      <c r="Q176" s="185"/>
      <c r="R176" s="185"/>
      <c r="S176" s="184"/>
      <c r="T176" s="184"/>
      <c r="U176" s="228"/>
    </row>
    <row r="179" spans="1:21" ht="15.75" thickBot="1">
      <c r="A179" s="116" t="s">
        <v>564</v>
      </c>
    </row>
    <row r="180" spans="1:21" ht="30.75" thickBot="1">
      <c r="A180" s="164" t="s">
        <v>444</v>
      </c>
      <c r="B180" s="165" t="s">
        <v>445</v>
      </c>
      <c r="C180" s="165"/>
      <c r="D180" s="165"/>
      <c r="E180" s="218" t="s">
        <v>446</v>
      </c>
      <c r="F180" s="219" t="s">
        <v>447</v>
      </c>
      <c r="G180" s="193"/>
      <c r="H180" s="193"/>
      <c r="I180" s="193"/>
      <c r="J180" s="193"/>
      <c r="K180" s="193"/>
      <c r="L180" s="193"/>
      <c r="M180" s="193"/>
      <c r="N180" s="193"/>
      <c r="O180" s="193"/>
      <c r="P180" s="193"/>
      <c r="Q180" s="193"/>
      <c r="R180" s="193"/>
      <c r="S180" s="166" t="s">
        <v>565</v>
      </c>
      <c r="T180" s="730"/>
      <c r="U180" s="731"/>
    </row>
    <row r="181" spans="1:21" ht="15">
      <c r="A181" s="254"/>
      <c r="B181" s="170"/>
      <c r="C181" s="170"/>
      <c r="D181" s="170"/>
      <c r="E181" s="255"/>
      <c r="F181" s="255"/>
      <c r="G181" s="256"/>
      <c r="H181" s="256"/>
      <c r="I181" s="256"/>
      <c r="J181" s="256"/>
      <c r="K181" s="256"/>
      <c r="L181" s="256"/>
      <c r="M181" s="256"/>
      <c r="N181" s="256"/>
      <c r="O181" s="256"/>
      <c r="P181" s="256"/>
      <c r="Q181" s="256"/>
      <c r="R181" s="256"/>
      <c r="S181" s="257"/>
      <c r="T181" s="257"/>
      <c r="U181" s="258"/>
    </row>
    <row r="182" spans="1:21" ht="15">
      <c r="A182" s="175"/>
      <c r="B182" s="116" t="s">
        <v>566</v>
      </c>
      <c r="G182" s="115"/>
      <c r="U182" s="224"/>
    </row>
    <row r="183" spans="1:21" ht="15">
      <c r="A183" s="175">
        <f>+A175+1</f>
        <v>72</v>
      </c>
      <c r="B183" s="115"/>
      <c r="C183" s="133" t="s">
        <v>567</v>
      </c>
      <c r="D183" s="133"/>
      <c r="E183" s="133" t="s">
        <v>568</v>
      </c>
      <c r="F183" s="207" t="s">
        <v>532</v>
      </c>
      <c r="H183" s="133"/>
      <c r="I183" s="133"/>
      <c r="J183" s="133"/>
      <c r="K183" s="133"/>
      <c r="L183" s="133"/>
      <c r="M183" s="133"/>
      <c r="N183" s="133"/>
      <c r="O183" s="133"/>
      <c r="P183" s="133"/>
      <c r="Q183" s="133"/>
      <c r="R183" s="133"/>
      <c r="S183" s="302">
        <v>3258.6</v>
      </c>
      <c r="T183" s="728"/>
      <c r="U183" s="729"/>
    </row>
    <row r="184" spans="1:21" ht="15" thickBot="1">
      <c r="A184" s="261"/>
      <c r="B184" s="184"/>
      <c r="C184" s="184"/>
      <c r="D184" s="184"/>
      <c r="E184" s="184"/>
      <c r="F184" s="184"/>
      <c r="G184" s="184"/>
      <c r="H184" s="184"/>
      <c r="I184" s="184"/>
      <c r="J184" s="184"/>
      <c r="K184" s="184"/>
      <c r="L184" s="184"/>
      <c r="M184" s="184"/>
      <c r="N184" s="184"/>
      <c r="O184" s="184"/>
      <c r="P184" s="184"/>
      <c r="Q184" s="184"/>
      <c r="R184" s="184"/>
      <c r="S184" s="184"/>
      <c r="T184" s="184"/>
      <c r="U184" s="228"/>
    </row>
    <row r="185" spans="1:21">
      <c r="D185" s="303"/>
    </row>
    <row r="186" spans="1:21" ht="15">
      <c r="A186" s="116"/>
      <c r="U186" s="304"/>
    </row>
    <row r="187" spans="1:21" ht="15.75" thickBot="1">
      <c r="A187" s="45" t="s">
        <v>46</v>
      </c>
      <c r="B187" s="6"/>
      <c r="C187" s="6"/>
      <c r="D187" s="6"/>
      <c r="E187" s="6"/>
      <c r="F187" s="6"/>
      <c r="G187" s="6"/>
      <c r="H187" s="6"/>
      <c r="I187" s="6"/>
      <c r="J187" s="6"/>
      <c r="K187" s="29"/>
      <c r="L187" s="29"/>
      <c r="M187" s="29"/>
      <c r="N187" s="29"/>
      <c r="O187" s="29"/>
      <c r="P187" s="29"/>
      <c r="Q187" s="29"/>
      <c r="R187" s="29"/>
      <c r="S187" s="6"/>
      <c r="T187" s="6"/>
      <c r="U187" s="6"/>
    </row>
    <row r="188" spans="1:21" ht="30.75" thickBot="1">
      <c r="A188" s="216" t="s">
        <v>444</v>
      </c>
      <c r="B188" s="217" t="s">
        <v>445</v>
      </c>
      <c r="C188" s="217"/>
      <c r="D188" s="217"/>
      <c r="E188" s="218" t="s">
        <v>446</v>
      </c>
      <c r="F188" s="219" t="s">
        <v>447</v>
      </c>
      <c r="G188" s="51"/>
      <c r="H188" s="51" t="s">
        <v>569</v>
      </c>
      <c r="I188" s="51" t="s">
        <v>570</v>
      </c>
      <c r="J188" s="51" t="s">
        <v>571</v>
      </c>
      <c r="K188" s="51" t="s">
        <v>64</v>
      </c>
      <c r="L188" s="51"/>
      <c r="M188" s="51"/>
      <c r="N188" s="51"/>
      <c r="O188" s="51"/>
      <c r="P188" s="51"/>
      <c r="Q188" s="51"/>
      <c r="R188" s="51"/>
      <c r="S188" s="219"/>
      <c r="T188" s="730"/>
      <c r="U188" s="731"/>
    </row>
    <row r="189" spans="1:21" ht="15">
      <c r="A189" s="305"/>
      <c r="B189" s="29"/>
      <c r="C189" s="29"/>
      <c r="D189" s="29"/>
      <c r="E189" s="306"/>
      <c r="F189" s="306"/>
      <c r="G189" s="29"/>
      <c r="H189" s="18"/>
      <c r="I189" s="18"/>
      <c r="J189" s="18"/>
      <c r="K189" s="307"/>
      <c r="L189" s="307"/>
      <c r="M189" s="307"/>
      <c r="N189" s="307"/>
      <c r="O189" s="307"/>
      <c r="P189" s="307"/>
      <c r="Q189" s="307"/>
      <c r="R189" s="307"/>
      <c r="S189" s="11"/>
      <c r="T189" s="308"/>
      <c r="U189" s="309"/>
    </row>
    <row r="190" spans="1:21" ht="15">
      <c r="A190" s="310">
        <f>+A183+1</f>
        <v>73</v>
      </c>
      <c r="B190" s="6"/>
      <c r="C190" s="6" t="s">
        <v>572</v>
      </c>
      <c r="D190" s="29"/>
      <c r="E190" s="6" t="s">
        <v>573</v>
      </c>
      <c r="F190" s="6">
        <v>182.1</v>
      </c>
      <c r="G190" s="29"/>
      <c r="H190" s="198">
        <v>0</v>
      </c>
      <c r="I190" s="198">
        <v>0</v>
      </c>
      <c r="J190" s="198">
        <v>0</v>
      </c>
      <c r="K190" s="311">
        <f>+H190+I190+J190</f>
        <v>0</v>
      </c>
      <c r="L190" s="307"/>
      <c r="M190" s="307"/>
      <c r="N190" s="307"/>
      <c r="O190" s="307"/>
      <c r="P190" s="307"/>
      <c r="Q190" s="307"/>
      <c r="R190" s="307"/>
      <c r="S190" s="11"/>
      <c r="T190" s="308"/>
      <c r="U190" s="309"/>
    </row>
    <row r="191" spans="1:21" ht="15">
      <c r="A191" s="310">
        <f>+A190+1</f>
        <v>74</v>
      </c>
      <c r="B191" s="6"/>
      <c r="C191" s="6" t="s">
        <v>574</v>
      </c>
      <c r="D191" s="18"/>
      <c r="E191" s="6" t="str">
        <f>+E190</f>
        <v>Per FERC Order</v>
      </c>
      <c r="F191" s="6"/>
      <c r="G191" s="29"/>
      <c r="H191" s="198">
        <v>0</v>
      </c>
      <c r="I191" s="198">
        <v>0</v>
      </c>
      <c r="J191" s="198">
        <v>0</v>
      </c>
      <c r="K191" s="311"/>
      <c r="L191" s="307"/>
      <c r="M191" s="307"/>
      <c r="N191" s="307"/>
      <c r="O191" s="307"/>
      <c r="P191" s="307"/>
      <c r="Q191" s="307"/>
      <c r="R191" s="307"/>
      <c r="S191" s="11"/>
      <c r="T191" s="308"/>
      <c r="U191" s="309"/>
    </row>
    <row r="192" spans="1:21" ht="15">
      <c r="A192" s="310">
        <f>+A191+1</f>
        <v>75</v>
      </c>
      <c r="B192" s="6"/>
      <c r="C192" s="6" t="s">
        <v>575</v>
      </c>
      <c r="D192" s="18"/>
      <c r="E192" s="6" t="str">
        <f>"(Line "&amp;A190&amp;") / (Line "&amp;A191&amp;")"</f>
        <v>(Line 73) / (Line 74)</v>
      </c>
      <c r="F192" s="6">
        <v>407</v>
      </c>
      <c r="G192" s="29"/>
      <c r="H192" s="312">
        <v>0</v>
      </c>
      <c r="I192" s="313">
        <v>0</v>
      </c>
      <c r="J192" s="312">
        <v>0</v>
      </c>
      <c r="K192" s="311">
        <f>+H192+I192+J192</f>
        <v>0</v>
      </c>
      <c r="L192" s="307"/>
      <c r="M192" s="307"/>
      <c r="N192" s="307"/>
      <c r="O192" s="307"/>
      <c r="P192" s="307"/>
      <c r="Q192" s="307"/>
      <c r="R192" s="307"/>
      <c r="S192" s="11"/>
      <c r="T192" s="308"/>
      <c r="U192" s="309"/>
    </row>
    <row r="193" spans="1:21" ht="15">
      <c r="A193" s="310"/>
      <c r="B193" s="6"/>
      <c r="C193" s="6"/>
      <c r="D193" s="18"/>
      <c r="E193" s="6"/>
      <c r="F193" s="6"/>
      <c r="G193" s="29"/>
      <c r="H193" s="313"/>
      <c r="I193" s="313"/>
      <c r="J193" s="313"/>
      <c r="K193" s="311"/>
      <c r="L193" s="307"/>
      <c r="M193" s="307"/>
      <c r="N193" s="307"/>
      <c r="O193" s="307"/>
      <c r="P193" s="307"/>
      <c r="Q193" s="307"/>
      <c r="R193" s="307"/>
      <c r="S193" s="11"/>
      <c r="T193" s="308"/>
      <c r="U193" s="309"/>
    </row>
    <row r="194" spans="1:21" ht="15">
      <c r="A194" s="310">
        <f>+A192+1</f>
        <v>76</v>
      </c>
      <c r="B194" s="6"/>
      <c r="C194" s="6" t="s">
        <v>576</v>
      </c>
      <c r="D194" s="18"/>
      <c r="E194" s="6" t="str">
        <f>"(Line "&amp;A190&amp;") - (Line "&amp;A192&amp;")"</f>
        <v>(Line 73) - (Line 75)</v>
      </c>
      <c r="F194" s="6">
        <v>182.1</v>
      </c>
      <c r="G194" s="314"/>
      <c r="H194" s="198">
        <f>+H190-H192</f>
        <v>0</v>
      </c>
      <c r="I194" s="198">
        <f>+I190-I192</f>
        <v>0</v>
      </c>
      <c r="J194" s="198">
        <f>+J190-J192</f>
        <v>0</v>
      </c>
      <c r="K194" s="311">
        <f>+H194+I194+J194</f>
        <v>0</v>
      </c>
      <c r="L194" s="307"/>
      <c r="M194" s="307"/>
      <c r="N194" s="307"/>
      <c r="O194" s="307"/>
      <c r="P194" s="307"/>
      <c r="Q194" s="307"/>
      <c r="R194" s="307"/>
      <c r="S194" s="11"/>
      <c r="T194" s="308"/>
      <c r="U194" s="309"/>
    </row>
    <row r="195" spans="1:21" ht="15">
      <c r="A195" s="310">
        <f>+A194+1</f>
        <v>77</v>
      </c>
      <c r="B195" s="6"/>
      <c r="C195" s="6" t="s">
        <v>577</v>
      </c>
      <c r="D195" s="18"/>
      <c r="E195" s="6" t="str">
        <f>"((Line "&amp;A190&amp;") + (Line "&amp;A194&amp;")) / 2"</f>
        <v>((Line 73) + (Line 76)) / 2</v>
      </c>
      <c r="F195" s="6"/>
      <c r="G195" s="29"/>
      <c r="H195" s="198">
        <f>+H190/2+H194/2</f>
        <v>0</v>
      </c>
      <c r="I195" s="198">
        <f>+I190/2+I194/2</f>
        <v>0</v>
      </c>
      <c r="J195" s="198">
        <f>+J190/2+J194/2</f>
        <v>0</v>
      </c>
      <c r="K195" s="311">
        <f>+H195+I195+J195</f>
        <v>0</v>
      </c>
      <c r="L195" s="307"/>
      <c r="M195" s="307"/>
      <c r="N195" s="307"/>
      <c r="O195" s="307"/>
      <c r="P195" s="307"/>
      <c r="Q195" s="307"/>
      <c r="R195" s="307"/>
      <c r="S195" s="11"/>
      <c r="T195" s="308"/>
      <c r="U195" s="309"/>
    </row>
    <row r="196" spans="1:21">
      <c r="A196" s="315"/>
      <c r="B196" s="6"/>
      <c r="C196" s="29"/>
      <c r="D196" s="18"/>
      <c r="E196" s="6"/>
      <c r="F196" s="6"/>
      <c r="G196" s="29"/>
      <c r="H196" s="29"/>
      <c r="I196" s="29"/>
      <c r="J196" s="29"/>
      <c r="K196" s="29"/>
      <c r="L196" s="29"/>
      <c r="M196" s="29"/>
      <c r="N196" s="29"/>
      <c r="O196" s="29"/>
      <c r="P196" s="29"/>
      <c r="Q196" s="29"/>
      <c r="R196" s="29"/>
      <c r="S196" s="6"/>
      <c r="T196" s="6"/>
      <c r="U196" s="316"/>
    </row>
    <row r="197" spans="1:21" ht="15" thickBot="1">
      <c r="A197" s="317"/>
      <c r="B197" s="318"/>
      <c r="C197" s="318" t="s">
        <v>578</v>
      </c>
      <c r="D197" s="319"/>
      <c r="E197" s="318"/>
      <c r="F197" s="318"/>
      <c r="G197" s="318"/>
      <c r="H197" s="319" t="s">
        <v>579</v>
      </c>
      <c r="I197" s="319" t="s">
        <v>580</v>
      </c>
      <c r="J197" s="319" t="s">
        <v>579</v>
      </c>
      <c r="K197" s="319"/>
      <c r="L197" s="320"/>
      <c r="M197" s="318"/>
      <c r="N197" s="318"/>
      <c r="O197" s="318"/>
      <c r="P197" s="318"/>
      <c r="Q197" s="318"/>
      <c r="R197" s="318"/>
      <c r="S197" s="318"/>
      <c r="T197" s="318"/>
      <c r="U197" s="321"/>
    </row>
    <row r="200" spans="1:21" ht="15.75" thickBot="1">
      <c r="A200" s="116" t="s">
        <v>581</v>
      </c>
      <c r="G200" s="215"/>
      <c r="H200" s="736"/>
      <c r="I200" s="736"/>
      <c r="J200" s="736"/>
      <c r="K200" s="736"/>
      <c r="L200" s="736"/>
      <c r="M200" s="736"/>
      <c r="N200" s="736"/>
      <c r="O200" s="736"/>
      <c r="P200" s="736"/>
      <c r="Q200" s="736"/>
      <c r="R200" s="736"/>
      <c r="S200" s="736"/>
    </row>
    <row r="201" spans="1:21" ht="30.75" thickBot="1">
      <c r="A201" s="216" t="s">
        <v>444</v>
      </c>
      <c r="B201" s="217" t="s">
        <v>445</v>
      </c>
      <c r="C201" s="217"/>
      <c r="D201" s="217"/>
      <c r="E201" s="218" t="s">
        <v>446</v>
      </c>
      <c r="F201" s="219" t="s">
        <v>447</v>
      </c>
      <c r="G201" s="220"/>
      <c r="H201" s="220"/>
      <c r="I201" s="220"/>
      <c r="J201" s="220"/>
      <c r="K201" s="220"/>
      <c r="L201" s="220"/>
      <c r="M201" s="220"/>
      <c r="N201" s="220"/>
      <c r="O201" s="220"/>
      <c r="P201" s="220"/>
      <c r="Q201" s="219" t="s">
        <v>479</v>
      </c>
      <c r="R201" s="219" t="s">
        <v>582</v>
      </c>
      <c r="S201" s="219" t="s">
        <v>480</v>
      </c>
      <c r="T201" s="219" t="s">
        <v>460</v>
      </c>
      <c r="U201" s="52"/>
    </row>
    <row r="202" spans="1:21">
      <c r="A202" s="175"/>
      <c r="C202" s="133"/>
      <c r="E202" s="122"/>
      <c r="F202" s="122"/>
      <c r="Q202" s="117"/>
      <c r="R202" s="117"/>
      <c r="S202" s="213"/>
      <c r="T202" s="213"/>
      <c r="U202" s="224"/>
    </row>
    <row r="203" spans="1:21">
      <c r="A203" s="175">
        <f>+A195+1</f>
        <v>78</v>
      </c>
      <c r="C203" s="133" t="s">
        <v>43</v>
      </c>
      <c r="E203" s="46" t="s">
        <v>779</v>
      </c>
      <c r="F203" s="204" t="s">
        <v>945</v>
      </c>
      <c r="J203" s="117"/>
      <c r="Q203" s="322">
        <f>+'9 - Excess ADIT'!L38+'9 - Excess ADIT'!L64</f>
        <v>-34065805.186439775</v>
      </c>
      <c r="R203" s="322">
        <f>+'9 - Excess ADIT'!M70</f>
        <v>-2893498.0321720005</v>
      </c>
      <c r="S203" s="322">
        <f>+'9 - Excess ADIT'!N38+'9 - Excess ADIT'!N64</f>
        <v>-31172307.154267777</v>
      </c>
      <c r="T203" s="98">
        <f>+(S203+Q203)/2</f>
        <v>-32619056.170353778</v>
      </c>
      <c r="U203" s="224"/>
    </row>
    <row r="204" spans="1:21" ht="15.75" thickBot="1">
      <c r="A204" s="182"/>
      <c r="B204" s="185"/>
      <c r="C204" s="183"/>
      <c r="D204" s="185"/>
      <c r="E204" s="226"/>
      <c r="F204" s="226"/>
      <c r="G204" s="184"/>
      <c r="H204" s="184"/>
      <c r="I204" s="242"/>
      <c r="J204" s="226"/>
      <c r="K204" s="226"/>
      <c r="L204" s="226"/>
      <c r="M204" s="226"/>
      <c r="N204" s="226"/>
      <c r="O204" s="226"/>
      <c r="P204" s="226"/>
      <c r="Q204" s="226"/>
      <c r="R204" s="226"/>
      <c r="S204" s="184"/>
      <c r="T204" s="726"/>
      <c r="U204" s="727"/>
    </row>
    <row r="205" spans="1:21" ht="15">
      <c r="Q205" s="132" t="s">
        <v>994</v>
      </c>
    </row>
    <row r="206" spans="1:21">
      <c r="U206" s="24"/>
    </row>
    <row r="207" spans="1:21" ht="15.75" thickBot="1">
      <c r="A207" s="116" t="s">
        <v>60</v>
      </c>
      <c r="G207" s="215"/>
      <c r="H207" s="736"/>
      <c r="I207" s="736"/>
      <c r="J207" s="736"/>
      <c r="K207" s="736"/>
      <c r="L207" s="736"/>
      <c r="M207" s="736"/>
      <c r="N207" s="736"/>
      <c r="O207" s="736"/>
      <c r="P207" s="736"/>
      <c r="Q207" s="736"/>
      <c r="R207" s="736"/>
      <c r="S207" s="736"/>
      <c r="U207" s="304"/>
    </row>
    <row r="208" spans="1:21" ht="30.75" thickBot="1">
      <c r="A208" s="216" t="s">
        <v>444</v>
      </c>
      <c r="B208" s="217" t="s">
        <v>445</v>
      </c>
      <c r="C208" s="217"/>
      <c r="D208" s="217"/>
      <c r="E208" s="218" t="s">
        <v>446</v>
      </c>
      <c r="F208" s="219" t="s">
        <v>447</v>
      </c>
      <c r="G208" s="51" t="s">
        <v>448</v>
      </c>
      <c r="H208" s="51" t="s">
        <v>449</v>
      </c>
      <c r="I208" s="51" t="s">
        <v>450</v>
      </c>
      <c r="J208" s="51" t="s">
        <v>451</v>
      </c>
      <c r="K208" s="51" t="s">
        <v>452</v>
      </c>
      <c r="L208" s="51" t="s">
        <v>335</v>
      </c>
      <c r="M208" s="51" t="s">
        <v>453</v>
      </c>
      <c r="N208" s="51" t="s">
        <v>454</v>
      </c>
      <c r="O208" s="51" t="s">
        <v>455</v>
      </c>
      <c r="P208" s="51" t="s">
        <v>456</v>
      </c>
      <c r="Q208" s="51" t="s">
        <v>457</v>
      </c>
      <c r="R208" s="51" t="s">
        <v>458</v>
      </c>
      <c r="S208" s="51" t="s">
        <v>459</v>
      </c>
      <c r="T208" s="219" t="s">
        <v>460</v>
      </c>
      <c r="U208" s="52"/>
    </row>
    <row r="209" spans="1:21">
      <c r="A209" s="175"/>
      <c r="C209" s="133"/>
      <c r="E209" s="122"/>
      <c r="F209" s="122"/>
      <c r="Q209" s="117"/>
      <c r="R209" s="117"/>
      <c r="S209" s="213"/>
      <c r="T209" s="213"/>
      <c r="U209" s="224"/>
    </row>
    <row r="210" spans="1:21" ht="15">
      <c r="A210" s="175"/>
      <c r="B210" s="116" t="s">
        <v>60</v>
      </c>
      <c r="C210" s="133"/>
      <c r="E210" s="122"/>
      <c r="F210" s="122"/>
      <c r="G210" s="115"/>
      <c r="Q210" s="117"/>
      <c r="R210" s="117"/>
      <c r="S210" s="213"/>
      <c r="T210" s="213"/>
      <c r="U210" s="224"/>
    </row>
    <row r="211" spans="1:21">
      <c r="A211" s="175"/>
      <c r="C211" s="133"/>
      <c r="E211" s="122"/>
      <c r="F211" s="122"/>
      <c r="Q211" s="117"/>
      <c r="R211" s="117"/>
      <c r="S211" s="213"/>
      <c r="T211" s="213"/>
      <c r="U211" s="224"/>
    </row>
    <row r="212" spans="1:21">
      <c r="A212" s="175">
        <f>+A203+1</f>
        <v>79</v>
      </c>
      <c r="C212" s="133" t="s">
        <v>61</v>
      </c>
      <c r="E212" s="46" t="s">
        <v>950</v>
      </c>
      <c r="F212" s="207">
        <v>228.1</v>
      </c>
      <c r="G212" s="198">
        <v>0</v>
      </c>
      <c r="H212" s="198">
        <v>0</v>
      </c>
      <c r="I212" s="198">
        <v>0</v>
      </c>
      <c r="J212" s="198">
        <v>0</v>
      </c>
      <c r="K212" s="198">
        <v>0</v>
      </c>
      <c r="L212" s="198">
        <v>0</v>
      </c>
      <c r="M212" s="198">
        <v>0</v>
      </c>
      <c r="N212" s="198">
        <v>0</v>
      </c>
      <c r="O212" s="198">
        <v>0</v>
      </c>
      <c r="P212" s="198">
        <v>0</v>
      </c>
      <c r="Q212" s="198">
        <v>0</v>
      </c>
      <c r="R212" s="198">
        <v>0</v>
      </c>
      <c r="S212" s="198">
        <v>0</v>
      </c>
      <c r="T212" s="98">
        <f>+(R212+S212)/2</f>
        <v>0</v>
      </c>
      <c r="U212" s="224"/>
    </row>
    <row r="213" spans="1:21">
      <c r="A213" s="175">
        <f>+A212+1</f>
        <v>80</v>
      </c>
      <c r="C213" s="133" t="s">
        <v>63</v>
      </c>
      <c r="E213" s="206" t="s">
        <v>995</v>
      </c>
      <c r="F213" s="207">
        <v>228.2</v>
      </c>
      <c r="G213" s="198">
        <v>-1562939</v>
      </c>
      <c r="H213" s="198">
        <v>-1562939</v>
      </c>
      <c r="I213" s="198">
        <v>-1562939</v>
      </c>
      <c r="J213" s="198">
        <v>-1276939</v>
      </c>
      <c r="K213" s="198">
        <v>-1276939</v>
      </c>
      <c r="L213" s="198">
        <v>-1276939</v>
      </c>
      <c r="M213" s="198">
        <v>-1276939</v>
      </c>
      <c r="N213" s="198">
        <v>-1276939</v>
      </c>
      <c r="O213" s="198">
        <v>-1276939</v>
      </c>
      <c r="P213" s="198">
        <v>-1276939</v>
      </c>
      <c r="Q213" s="198">
        <v>-1276939</v>
      </c>
      <c r="R213" s="198">
        <v>-1276939</v>
      </c>
      <c r="S213" s="198">
        <v>-1735346</v>
      </c>
      <c r="T213" s="98">
        <f>+AVERAGE(G213:S213)</f>
        <v>-1378201.076923077</v>
      </c>
      <c r="U213" s="224"/>
    </row>
    <row r="214" spans="1:21">
      <c r="A214" s="175">
        <f>+A213+1</f>
        <v>81</v>
      </c>
      <c r="C214" s="197" t="s">
        <v>996</v>
      </c>
      <c r="E214" s="46" t="s">
        <v>997</v>
      </c>
      <c r="F214" s="207">
        <v>228.3</v>
      </c>
      <c r="G214" s="198">
        <v>-1890880</v>
      </c>
      <c r="H214" s="198">
        <v>-1890880</v>
      </c>
      <c r="I214" s="198">
        <v>-1890880</v>
      </c>
      <c r="J214" s="198">
        <v>-1890880</v>
      </c>
      <c r="K214" s="198">
        <v>-2019489</v>
      </c>
      <c r="L214" s="198">
        <v>-2019489</v>
      </c>
      <c r="M214" s="198">
        <v>-1890880</v>
      </c>
      <c r="N214" s="198">
        <v>-1900538</v>
      </c>
      <c r="O214" s="198">
        <v>-1910195</v>
      </c>
      <c r="P214" s="198">
        <v>-2005633</v>
      </c>
      <c r="Q214" s="198">
        <v>-1982651</v>
      </c>
      <c r="R214" s="198">
        <v>-1988531</v>
      </c>
      <c r="S214" s="198">
        <v>-1793198</v>
      </c>
      <c r="T214" s="98">
        <f t="shared" ref="T214:T215" si="11">+AVERAGE(G214:S214)</f>
        <v>-1928778.7692307692</v>
      </c>
      <c r="U214" s="224"/>
    </row>
    <row r="215" spans="1:21">
      <c r="A215" s="175">
        <f>+A214+1</f>
        <v>82</v>
      </c>
      <c r="C215" s="133" t="s">
        <v>946</v>
      </c>
      <c r="E215" s="46" t="s">
        <v>951</v>
      </c>
      <c r="F215" s="207">
        <v>228.4</v>
      </c>
      <c r="G215" s="198">
        <v>0</v>
      </c>
      <c r="H215" s="198">
        <v>0</v>
      </c>
      <c r="I215" s="198">
        <v>0</v>
      </c>
      <c r="J215" s="198">
        <v>0</v>
      </c>
      <c r="K215" s="198">
        <v>0</v>
      </c>
      <c r="L215" s="198">
        <v>0</v>
      </c>
      <c r="M215" s="198">
        <v>0</v>
      </c>
      <c r="N215" s="198">
        <v>0</v>
      </c>
      <c r="O215" s="198">
        <v>0</v>
      </c>
      <c r="P215" s="198">
        <v>0</v>
      </c>
      <c r="Q215" s="198">
        <v>0</v>
      </c>
      <c r="R215" s="198">
        <v>0</v>
      </c>
      <c r="S215" s="198">
        <v>0</v>
      </c>
      <c r="T215" s="98">
        <f t="shared" si="11"/>
        <v>0</v>
      </c>
      <c r="U215" s="224"/>
    </row>
    <row r="216" spans="1:21">
      <c r="A216" s="175"/>
      <c r="C216" s="133"/>
      <c r="J216" s="117"/>
      <c r="Q216" s="250"/>
      <c r="R216" s="250"/>
      <c r="S216" s="250"/>
      <c r="T216" s="250"/>
      <c r="U216" s="224"/>
    </row>
    <row r="217" spans="1:21" ht="15.75" thickBot="1">
      <c r="A217" s="323" t="s">
        <v>583</v>
      </c>
      <c r="B217" s="185"/>
      <c r="C217" s="183"/>
      <c r="D217" s="185"/>
      <c r="E217" s="226"/>
      <c r="F217" s="226"/>
      <c r="G217" s="184"/>
      <c r="H217" s="184"/>
      <c r="I217" s="242"/>
      <c r="J217" s="226"/>
      <c r="K217" s="226"/>
      <c r="L217" s="226"/>
      <c r="M217" s="226"/>
      <c r="N217" s="226"/>
      <c r="O217" s="226"/>
      <c r="P217" s="226"/>
      <c r="Q217" s="226"/>
      <c r="R217" s="226"/>
      <c r="S217" s="184"/>
      <c r="T217" s="726"/>
      <c r="U217" s="727"/>
    </row>
    <row r="219" spans="1:21" ht="15.75" thickBot="1">
      <c r="A219" s="116" t="s">
        <v>68</v>
      </c>
      <c r="G219" s="215"/>
      <c r="H219" s="736"/>
      <c r="I219" s="736"/>
      <c r="J219" s="736"/>
      <c r="K219" s="736"/>
      <c r="L219" s="736"/>
      <c r="M219" s="736"/>
      <c r="N219" s="736"/>
      <c r="O219" s="736"/>
      <c r="P219" s="736"/>
      <c r="Q219" s="736"/>
      <c r="R219" s="736"/>
      <c r="S219" s="736"/>
    </row>
    <row r="220" spans="1:21" ht="30.75" thickBot="1">
      <c r="A220" s="216" t="s">
        <v>444</v>
      </c>
      <c r="B220" s="217" t="s">
        <v>445</v>
      </c>
      <c r="C220" s="217"/>
      <c r="D220" s="217"/>
      <c r="E220" s="218" t="s">
        <v>446</v>
      </c>
      <c r="F220" s="219" t="s">
        <v>447</v>
      </c>
      <c r="G220" s="51" t="s">
        <v>448</v>
      </c>
      <c r="H220" s="51" t="s">
        <v>449</v>
      </c>
      <c r="I220" s="51" t="s">
        <v>450</v>
      </c>
      <c r="J220" s="51" t="s">
        <v>451</v>
      </c>
      <c r="K220" s="51" t="s">
        <v>452</v>
      </c>
      <c r="L220" s="51" t="s">
        <v>335</v>
      </c>
      <c r="M220" s="51" t="s">
        <v>453</v>
      </c>
      <c r="N220" s="51" t="s">
        <v>454</v>
      </c>
      <c r="O220" s="51" t="s">
        <v>455</v>
      </c>
      <c r="P220" s="51" t="s">
        <v>456</v>
      </c>
      <c r="Q220" s="51" t="s">
        <v>457</v>
      </c>
      <c r="R220" s="51" t="s">
        <v>458</v>
      </c>
      <c r="S220" s="51" t="s">
        <v>459</v>
      </c>
      <c r="T220" s="219" t="s">
        <v>460</v>
      </c>
      <c r="U220" s="52"/>
    </row>
    <row r="221" spans="1:21">
      <c r="A221" s="175"/>
      <c r="C221" s="133"/>
      <c r="E221" s="122"/>
      <c r="F221" s="122"/>
      <c r="Q221" s="117"/>
      <c r="R221" s="117"/>
      <c r="S221" s="213"/>
      <c r="T221" s="213"/>
      <c r="U221" s="224"/>
    </row>
    <row r="222" spans="1:21">
      <c r="A222" s="175">
        <f>+A215+1</f>
        <v>83</v>
      </c>
      <c r="C222" s="133" t="s">
        <v>584</v>
      </c>
      <c r="E222" s="46" t="s">
        <v>998</v>
      </c>
      <c r="F222" s="46">
        <v>253</v>
      </c>
      <c r="G222" s="198">
        <v>-3893</v>
      </c>
      <c r="H222" s="198">
        <v>-3893</v>
      </c>
      <c r="I222" s="198">
        <v>-3893</v>
      </c>
      <c r="J222" s="198">
        <v>-3893</v>
      </c>
      <c r="K222" s="198">
        <v>-3893</v>
      </c>
      <c r="L222" s="198">
        <v>-3893</v>
      </c>
      <c r="M222" s="198">
        <v>-3893</v>
      </c>
      <c r="N222" s="198">
        <v>-3893</v>
      </c>
      <c r="O222" s="198">
        <v>-3893</v>
      </c>
      <c r="P222" s="198">
        <v>-3893</v>
      </c>
      <c r="Q222" s="198">
        <v>-3893</v>
      </c>
      <c r="R222" s="198">
        <v>-3893</v>
      </c>
      <c r="S222" s="198">
        <v>0</v>
      </c>
      <c r="T222" s="270">
        <f t="shared" ref="T222" si="12">+AVERAGE(G222:S222)</f>
        <v>-3593.5384615384614</v>
      </c>
      <c r="U222" s="224"/>
    </row>
    <row r="223" spans="1:21" ht="15.75" thickBot="1">
      <c r="A223" s="323"/>
      <c r="B223" s="185"/>
      <c r="C223" s="183"/>
      <c r="D223" s="185"/>
      <c r="E223" s="226"/>
      <c r="F223" s="226"/>
      <c r="G223" s="184"/>
      <c r="H223" s="184"/>
      <c r="I223" s="242"/>
      <c r="J223" s="226"/>
      <c r="K223" s="226"/>
      <c r="L223" s="226"/>
      <c r="M223" s="226"/>
      <c r="N223" s="226"/>
      <c r="O223" s="226"/>
      <c r="P223" s="226"/>
      <c r="Q223" s="226"/>
      <c r="R223" s="226"/>
      <c r="S223" s="184"/>
      <c r="T223" s="726"/>
      <c r="U223" s="727"/>
    </row>
    <row r="227" spans="1:21" ht="15.75" thickBot="1">
      <c r="A227" s="132" t="s">
        <v>860</v>
      </c>
    </row>
    <row r="228" spans="1:21" ht="30.75" thickBot="1">
      <c r="A228" s="216" t="s">
        <v>444</v>
      </c>
      <c r="B228" s="217" t="s">
        <v>445</v>
      </c>
      <c r="C228" s="217"/>
      <c r="D228" s="217"/>
      <c r="E228" s="218" t="s">
        <v>446</v>
      </c>
      <c r="F228" s="219" t="s">
        <v>447</v>
      </c>
      <c r="G228" s="51" t="s">
        <v>448</v>
      </c>
      <c r="H228" s="51" t="s">
        <v>449</v>
      </c>
      <c r="I228" s="51" t="s">
        <v>450</v>
      </c>
      <c r="J228" s="51" t="s">
        <v>451</v>
      </c>
      <c r="K228" s="51" t="s">
        <v>452</v>
      </c>
      <c r="L228" s="51" t="s">
        <v>335</v>
      </c>
      <c r="M228" s="51" t="s">
        <v>453</v>
      </c>
      <c r="N228" s="51" t="s">
        <v>454</v>
      </c>
      <c r="O228" s="51" t="s">
        <v>455</v>
      </c>
      <c r="P228" s="51" t="s">
        <v>456</v>
      </c>
      <c r="Q228" s="51" t="s">
        <v>457</v>
      </c>
      <c r="R228" s="51" t="s">
        <v>458</v>
      </c>
      <c r="S228" s="51" t="s">
        <v>459</v>
      </c>
      <c r="T228" s="219" t="s">
        <v>460</v>
      </c>
      <c r="U228" s="52"/>
    </row>
    <row r="229" spans="1:21">
      <c r="A229" s="175">
        <f>+A222+1</f>
        <v>84</v>
      </c>
      <c r="C229" s="133" t="s">
        <v>585</v>
      </c>
      <c r="E229" s="122" t="s">
        <v>586</v>
      </c>
      <c r="F229" s="204">
        <v>252</v>
      </c>
      <c r="G229" s="198">
        <v>0</v>
      </c>
      <c r="H229" s="198">
        <v>0</v>
      </c>
      <c r="I229" s="198">
        <v>0</v>
      </c>
      <c r="J229" s="198">
        <v>0</v>
      </c>
      <c r="K229" s="198">
        <v>0</v>
      </c>
      <c r="L229" s="198">
        <v>0</v>
      </c>
      <c r="M229" s="198">
        <v>0</v>
      </c>
      <c r="N229" s="198">
        <v>0</v>
      </c>
      <c r="O229" s="198">
        <v>0</v>
      </c>
      <c r="P229" s="198">
        <v>0</v>
      </c>
      <c r="Q229" s="198">
        <v>0</v>
      </c>
      <c r="R229" s="198">
        <v>0</v>
      </c>
      <c r="S229" s="198">
        <v>0</v>
      </c>
      <c r="T229" s="98">
        <f>+(R229+S229)/2</f>
        <v>0</v>
      </c>
      <c r="U229" s="224"/>
    </row>
    <row r="230" spans="1:21">
      <c r="A230" s="175">
        <f>+A229+1</f>
        <v>85</v>
      </c>
      <c r="C230" s="133" t="s">
        <v>861</v>
      </c>
      <c r="E230" s="122" t="s">
        <v>862</v>
      </c>
      <c r="F230" s="204">
        <v>235</v>
      </c>
      <c r="G230" s="198">
        <v>-1090911</v>
      </c>
      <c r="H230" s="198">
        <v>-854127</v>
      </c>
      <c r="I230" s="198">
        <v>-854127</v>
      </c>
      <c r="J230" s="198">
        <v>-854127</v>
      </c>
      <c r="K230" s="198">
        <v>-854127</v>
      </c>
      <c r="L230" s="198">
        <v>-854127</v>
      </c>
      <c r="M230" s="198">
        <v>0</v>
      </c>
      <c r="N230" s="198">
        <v>0</v>
      </c>
      <c r="O230" s="198">
        <v>0</v>
      </c>
      <c r="P230" s="198">
        <v>0</v>
      </c>
      <c r="Q230" s="198">
        <v>0</v>
      </c>
      <c r="R230" s="198">
        <v>0</v>
      </c>
      <c r="S230" s="198">
        <v>-154200</v>
      </c>
      <c r="T230" s="98">
        <f t="shared" ref="T230" si="13">+AVERAGE(G230:S230)</f>
        <v>-424288.15384615387</v>
      </c>
      <c r="U230" s="224"/>
    </row>
    <row r="231" spans="1:21">
      <c r="A231" s="175">
        <f>+A230+1</f>
        <v>86</v>
      </c>
      <c r="C231" s="133" t="s">
        <v>64</v>
      </c>
      <c r="E231" s="122"/>
      <c r="F231" s="204"/>
      <c r="G231" s="324"/>
      <c r="H231" s="324"/>
      <c r="I231" s="324"/>
      <c r="J231" s="324"/>
      <c r="K231" s="324"/>
      <c r="L231" s="324"/>
      <c r="M231" s="324"/>
      <c r="N231" s="324"/>
      <c r="O231" s="324"/>
      <c r="P231" s="324"/>
      <c r="Q231" s="324"/>
      <c r="R231" s="324"/>
      <c r="S231" s="324"/>
      <c r="T231" s="98">
        <f>+T229+T230</f>
        <v>-424288.15384615387</v>
      </c>
      <c r="U231" s="224"/>
    </row>
    <row r="232" spans="1:21" ht="15" thickBot="1">
      <c r="A232" s="323"/>
      <c r="B232" s="184"/>
      <c r="C232" s="226"/>
      <c r="D232" s="184"/>
      <c r="E232" s="184" t="s">
        <v>791</v>
      </c>
      <c r="F232" s="184"/>
      <c r="G232" s="227"/>
      <c r="H232" s="227"/>
      <c r="I232" s="227"/>
      <c r="J232" s="227"/>
      <c r="K232" s="227"/>
      <c r="L232" s="227"/>
      <c r="M232" s="227"/>
      <c r="N232" s="227"/>
      <c r="O232" s="227"/>
      <c r="P232" s="227"/>
      <c r="Q232" s="227"/>
      <c r="R232" s="227"/>
      <c r="S232" s="227"/>
      <c r="T232" s="227"/>
      <c r="U232" s="228"/>
    </row>
    <row r="235" spans="1:21" ht="15.75" thickBot="1">
      <c r="A235" s="132" t="s">
        <v>69</v>
      </c>
    </row>
    <row r="236" spans="1:21" ht="30.75" thickBot="1">
      <c r="A236" s="216" t="s">
        <v>444</v>
      </c>
      <c r="B236" s="217" t="s">
        <v>445</v>
      </c>
      <c r="C236" s="217"/>
      <c r="D236" s="217"/>
      <c r="E236" s="218" t="s">
        <v>446</v>
      </c>
      <c r="F236" s="219" t="s">
        <v>447</v>
      </c>
      <c r="G236" s="325"/>
      <c r="H236" s="220"/>
      <c r="I236" s="220"/>
      <c r="J236" s="220"/>
      <c r="K236" s="220"/>
      <c r="L236" s="220"/>
      <c r="M236" s="220"/>
      <c r="N236" s="220"/>
      <c r="O236" s="220"/>
      <c r="P236" s="220"/>
      <c r="Q236" s="220"/>
      <c r="R236" s="219"/>
      <c r="S236" s="219"/>
      <c r="T236" s="219" t="s">
        <v>460</v>
      </c>
      <c r="U236" s="221"/>
    </row>
    <row r="237" spans="1:21">
      <c r="A237" s="175">
        <f>+A231+1</f>
        <v>87</v>
      </c>
      <c r="C237" s="133" t="s">
        <v>587</v>
      </c>
      <c r="E237" s="46" t="s">
        <v>588</v>
      </c>
      <c r="F237" s="204">
        <v>242</v>
      </c>
      <c r="G237" s="115"/>
      <c r="R237" s="98"/>
      <c r="S237" s="98"/>
      <c r="T237" s="98">
        <f>+'10 - Misc. Liabilities'!W22</f>
        <v>-1743491.1434598635</v>
      </c>
      <c r="U237" s="224"/>
    </row>
    <row r="238" spans="1:21" ht="15" thickBot="1">
      <c r="A238" s="261"/>
      <c r="B238" s="184"/>
      <c r="C238" s="184"/>
      <c r="D238" s="184"/>
      <c r="E238" s="184"/>
      <c r="F238" s="184"/>
      <c r="G238" s="184"/>
      <c r="H238" s="184"/>
      <c r="I238" s="184"/>
      <c r="J238" s="184"/>
      <c r="K238" s="184"/>
      <c r="L238" s="184"/>
      <c r="M238" s="184"/>
      <c r="N238" s="184"/>
      <c r="O238" s="184"/>
      <c r="P238" s="184"/>
      <c r="Q238" s="184"/>
      <c r="R238" s="184"/>
      <c r="S238" s="184"/>
      <c r="T238" s="184"/>
      <c r="U238" s="228"/>
    </row>
    <row r="239" spans="1:21" ht="15" thickBot="1"/>
    <row r="240" spans="1:21" ht="15.75" thickBot="1">
      <c r="A240" s="132" t="s">
        <v>589</v>
      </c>
      <c r="G240" s="163" t="s">
        <v>443</v>
      </c>
      <c r="H240" s="737" t="s">
        <v>590</v>
      </c>
      <c r="I240" s="738"/>
      <c r="J240" s="738"/>
      <c r="K240" s="738"/>
      <c r="L240" s="738"/>
      <c r="M240" s="738"/>
      <c r="N240" s="738"/>
      <c r="O240" s="738"/>
      <c r="P240" s="738"/>
      <c r="Q240" s="738"/>
      <c r="R240" s="738"/>
      <c r="S240" s="739"/>
    </row>
    <row r="241" spans="1:21" ht="30.75" thickBot="1">
      <c r="A241" s="216" t="s">
        <v>444</v>
      </c>
      <c r="B241" s="217" t="s">
        <v>445</v>
      </c>
      <c r="C241" s="217"/>
      <c r="D241" s="217"/>
      <c r="E241" s="218" t="s">
        <v>446</v>
      </c>
      <c r="F241" s="219" t="s">
        <v>447</v>
      </c>
      <c r="G241" s="167" t="s">
        <v>448</v>
      </c>
      <c r="H241" s="51" t="s">
        <v>449</v>
      </c>
      <c r="I241" s="51" t="s">
        <v>450</v>
      </c>
      <c r="J241" s="51" t="s">
        <v>451</v>
      </c>
      <c r="K241" s="51" t="s">
        <v>452</v>
      </c>
      <c r="L241" s="51" t="s">
        <v>335</v>
      </c>
      <c r="M241" s="51" t="s">
        <v>453</v>
      </c>
      <c r="N241" s="51" t="s">
        <v>454</v>
      </c>
      <c r="O241" s="51" t="s">
        <v>455</v>
      </c>
      <c r="P241" s="51" t="s">
        <v>456</v>
      </c>
      <c r="Q241" s="51" t="s">
        <v>457</v>
      </c>
      <c r="R241" s="51" t="s">
        <v>458</v>
      </c>
      <c r="S241" s="51" t="s">
        <v>459</v>
      </c>
      <c r="T241" s="52" t="s">
        <v>460</v>
      </c>
      <c r="U241" s="53"/>
    </row>
    <row r="242" spans="1:21">
      <c r="A242" s="175"/>
      <c r="B242" s="46" t="str">
        <f>+'7A - Project ROE Adder'!G8</f>
        <v>Name</v>
      </c>
      <c r="C242" s="133"/>
      <c r="F242" s="204"/>
      <c r="T242" s="326"/>
    </row>
    <row r="243" spans="1:21">
      <c r="A243" s="175">
        <f>+A237+1</f>
        <v>88</v>
      </c>
      <c r="B243" s="46" t="s">
        <v>591</v>
      </c>
      <c r="C243" s="133"/>
      <c r="E243" s="133">
        <v>206</v>
      </c>
      <c r="F243" s="204"/>
      <c r="G243" s="327">
        <v>0</v>
      </c>
      <c r="H243" s="328">
        <v>0</v>
      </c>
      <c r="I243" s="328">
        <v>0</v>
      </c>
      <c r="J243" s="328">
        <v>0</v>
      </c>
      <c r="K243" s="328">
        <v>0</v>
      </c>
      <c r="L243" s="328">
        <v>0</v>
      </c>
      <c r="M243" s="328">
        <v>0</v>
      </c>
      <c r="N243" s="328">
        <v>0</v>
      </c>
      <c r="O243" s="328">
        <v>0</v>
      </c>
      <c r="P243" s="328">
        <v>0</v>
      </c>
      <c r="Q243" s="328">
        <v>0</v>
      </c>
      <c r="R243" s="329">
        <v>0</v>
      </c>
      <c r="S243" s="329">
        <v>0</v>
      </c>
      <c r="T243" s="330">
        <f>+SUM(G243:S243)/13</f>
        <v>0</v>
      </c>
    </row>
    <row r="244" spans="1:21">
      <c r="A244" s="175">
        <f>+A243+1</f>
        <v>89</v>
      </c>
      <c r="B244" s="46" t="s">
        <v>31</v>
      </c>
      <c r="C244" s="133"/>
      <c r="E244" s="133">
        <v>219</v>
      </c>
      <c r="F244" s="204"/>
      <c r="G244" s="327">
        <v>0</v>
      </c>
      <c r="H244" s="328">
        <v>0</v>
      </c>
      <c r="I244" s="328">
        <v>0</v>
      </c>
      <c r="J244" s="328">
        <v>0</v>
      </c>
      <c r="K244" s="328">
        <v>0</v>
      </c>
      <c r="L244" s="328">
        <v>0</v>
      </c>
      <c r="M244" s="328">
        <v>0</v>
      </c>
      <c r="N244" s="328">
        <v>0</v>
      </c>
      <c r="O244" s="328">
        <v>0</v>
      </c>
      <c r="P244" s="328">
        <v>0</v>
      </c>
      <c r="Q244" s="328">
        <v>0</v>
      </c>
      <c r="R244" s="329">
        <v>0</v>
      </c>
      <c r="S244" s="329">
        <v>0</v>
      </c>
      <c r="T244" s="330">
        <f t="shared" ref="T244" si="14">+SUM(G244:S244)/13</f>
        <v>0</v>
      </c>
    </row>
    <row r="245" spans="1:21">
      <c r="A245" s="175">
        <f>+A244+1</f>
        <v>90</v>
      </c>
      <c r="B245" s="46" t="s">
        <v>41</v>
      </c>
      <c r="C245" s="133"/>
      <c r="E245" s="133">
        <v>274</v>
      </c>
      <c r="F245" s="204"/>
      <c r="G245" s="327">
        <v>0</v>
      </c>
      <c r="H245" s="122"/>
      <c r="I245" s="122"/>
      <c r="J245" s="122"/>
      <c r="K245" s="122"/>
      <c r="L245" s="122"/>
      <c r="M245" s="122"/>
      <c r="N245" s="122"/>
      <c r="O245" s="122"/>
      <c r="P245" s="122"/>
      <c r="Q245" s="122"/>
      <c r="R245" s="98"/>
      <c r="S245" s="329">
        <v>0</v>
      </c>
      <c r="T245" s="330">
        <f>+(G245+S245)/2</f>
        <v>0</v>
      </c>
    </row>
    <row r="246" spans="1:21">
      <c r="A246" s="175"/>
      <c r="C246" s="133"/>
      <c r="E246" s="133"/>
      <c r="F246" s="204"/>
      <c r="G246" s="158"/>
      <c r="H246" s="122"/>
      <c r="I246" s="122"/>
      <c r="J246" s="122"/>
      <c r="K246" s="122"/>
      <c r="L246" s="122"/>
      <c r="M246" s="122"/>
      <c r="N246" s="122"/>
      <c r="O246" s="122"/>
      <c r="P246" s="122"/>
      <c r="Q246" s="122"/>
      <c r="R246" s="98"/>
      <c r="S246" s="98"/>
      <c r="T246" s="330"/>
    </row>
    <row r="247" spans="1:21">
      <c r="A247" s="175"/>
      <c r="B247" s="46" t="str">
        <f>+'7A - Project ROE Adder'!I8</f>
        <v>Name</v>
      </c>
      <c r="C247" s="133"/>
      <c r="E247" s="133"/>
      <c r="F247" s="204"/>
      <c r="G247" s="122"/>
      <c r="H247" s="122"/>
      <c r="I247" s="122"/>
      <c r="J247" s="122"/>
      <c r="K247" s="122"/>
      <c r="L247" s="122"/>
      <c r="M247" s="122"/>
      <c r="N247" s="122"/>
      <c r="O247" s="122"/>
      <c r="P247" s="122"/>
      <c r="Q247" s="122"/>
      <c r="R247" s="122"/>
      <c r="S247" s="122"/>
      <c r="T247" s="331"/>
    </row>
    <row r="248" spans="1:21">
      <c r="A248" s="175">
        <f>+A245+1</f>
        <v>91</v>
      </c>
      <c r="B248" s="46" t="s">
        <v>591</v>
      </c>
      <c r="C248" s="133"/>
      <c r="E248" s="133">
        <v>206</v>
      </c>
      <c r="F248" s="204"/>
      <c r="G248" s="327">
        <v>0</v>
      </c>
      <c r="H248" s="328">
        <v>0</v>
      </c>
      <c r="I248" s="328">
        <v>0</v>
      </c>
      <c r="J248" s="328">
        <v>0</v>
      </c>
      <c r="K248" s="328">
        <v>0</v>
      </c>
      <c r="L248" s="328">
        <v>0</v>
      </c>
      <c r="M248" s="328">
        <v>0</v>
      </c>
      <c r="N248" s="328">
        <v>0</v>
      </c>
      <c r="O248" s="328">
        <v>0</v>
      </c>
      <c r="P248" s="328">
        <v>0</v>
      </c>
      <c r="Q248" s="328">
        <v>0</v>
      </c>
      <c r="R248" s="329">
        <v>0</v>
      </c>
      <c r="S248" s="329">
        <v>0</v>
      </c>
      <c r="T248" s="330">
        <f>+SUM(G248:S248)/13</f>
        <v>0</v>
      </c>
    </row>
    <row r="249" spans="1:21">
      <c r="A249" s="175">
        <f>+A248+1</f>
        <v>92</v>
      </c>
      <c r="B249" s="46" t="s">
        <v>31</v>
      </c>
      <c r="C249" s="133"/>
      <c r="E249" s="133">
        <v>219</v>
      </c>
      <c r="F249" s="204"/>
      <c r="G249" s="327">
        <v>0</v>
      </c>
      <c r="H249" s="328">
        <v>0</v>
      </c>
      <c r="I249" s="328">
        <v>0</v>
      </c>
      <c r="J249" s="328">
        <v>0</v>
      </c>
      <c r="K249" s="328">
        <v>0</v>
      </c>
      <c r="L249" s="328">
        <v>0</v>
      </c>
      <c r="M249" s="328">
        <v>0</v>
      </c>
      <c r="N249" s="328">
        <v>0</v>
      </c>
      <c r="O249" s="328">
        <v>0</v>
      </c>
      <c r="P249" s="328">
        <v>0</v>
      </c>
      <c r="Q249" s="328">
        <v>0</v>
      </c>
      <c r="R249" s="329">
        <v>0</v>
      </c>
      <c r="S249" s="329">
        <v>0</v>
      </c>
      <c r="T249" s="330">
        <f t="shared" ref="T249" si="15">+SUM(G249:S249)/13</f>
        <v>0</v>
      </c>
    </row>
    <row r="250" spans="1:21">
      <c r="A250" s="175">
        <f>+A249+1</f>
        <v>93</v>
      </c>
      <c r="B250" s="46" t="s">
        <v>41</v>
      </c>
      <c r="C250" s="133"/>
      <c r="E250" s="133">
        <v>274</v>
      </c>
      <c r="F250" s="204"/>
      <c r="G250" s="327">
        <v>0</v>
      </c>
      <c r="H250" s="122"/>
      <c r="I250" s="122"/>
      <c r="J250" s="122"/>
      <c r="K250" s="122"/>
      <c r="L250" s="122"/>
      <c r="M250" s="122"/>
      <c r="N250" s="122"/>
      <c r="O250" s="122"/>
      <c r="P250" s="122"/>
      <c r="Q250" s="122"/>
      <c r="R250" s="98"/>
      <c r="S250" s="329">
        <v>0</v>
      </c>
      <c r="T250" s="330">
        <f>+(G250+S250)/2</f>
        <v>0</v>
      </c>
    </row>
    <row r="251" spans="1:21">
      <c r="E251" s="133"/>
      <c r="G251" s="122"/>
      <c r="H251" s="122"/>
      <c r="I251" s="122"/>
      <c r="J251" s="122"/>
      <c r="K251" s="122"/>
      <c r="L251" s="122"/>
      <c r="M251" s="122"/>
      <c r="N251" s="122"/>
      <c r="O251" s="122"/>
      <c r="P251" s="122"/>
      <c r="Q251" s="122"/>
      <c r="R251" s="122"/>
      <c r="S251" s="122"/>
      <c r="T251" s="331"/>
    </row>
    <row r="252" spans="1:21">
      <c r="A252" s="175"/>
      <c r="B252" s="46" t="str">
        <f>+'7A - Project ROE Adder'!K8</f>
        <v>Name</v>
      </c>
      <c r="C252" s="133"/>
      <c r="E252" s="133"/>
      <c r="F252" s="204"/>
      <c r="G252" s="122"/>
      <c r="H252" s="122"/>
      <c r="I252" s="122"/>
      <c r="J252" s="122"/>
      <c r="K252" s="122"/>
      <c r="L252" s="122"/>
      <c r="M252" s="122"/>
      <c r="N252" s="122"/>
      <c r="O252" s="122"/>
      <c r="P252" s="122"/>
      <c r="Q252" s="122"/>
      <c r="R252" s="122"/>
      <c r="S252" s="122"/>
      <c r="T252" s="331"/>
    </row>
    <row r="253" spans="1:21">
      <c r="A253" s="175">
        <f>+A250+1</f>
        <v>94</v>
      </c>
      <c r="B253" s="46" t="s">
        <v>591</v>
      </c>
      <c r="C253" s="133"/>
      <c r="E253" s="133">
        <v>206</v>
      </c>
      <c r="F253" s="204"/>
      <c r="G253" s="327">
        <v>0</v>
      </c>
      <c r="H253" s="328">
        <v>0</v>
      </c>
      <c r="I253" s="328">
        <v>0</v>
      </c>
      <c r="J253" s="328">
        <v>0</v>
      </c>
      <c r="K253" s="328">
        <v>0</v>
      </c>
      <c r="L253" s="328">
        <v>0</v>
      </c>
      <c r="M253" s="328">
        <v>0</v>
      </c>
      <c r="N253" s="328">
        <v>0</v>
      </c>
      <c r="O253" s="328">
        <v>0</v>
      </c>
      <c r="P253" s="328">
        <v>0</v>
      </c>
      <c r="Q253" s="328">
        <v>0</v>
      </c>
      <c r="R253" s="329">
        <v>0</v>
      </c>
      <c r="S253" s="329">
        <v>0</v>
      </c>
      <c r="T253" s="330">
        <f>+SUM(G253:S253)/13</f>
        <v>0</v>
      </c>
    </row>
    <row r="254" spans="1:21">
      <c r="A254" s="175">
        <f>+A253+1</f>
        <v>95</v>
      </c>
      <c r="B254" s="46" t="s">
        <v>31</v>
      </c>
      <c r="C254" s="133"/>
      <c r="E254" s="133">
        <v>219</v>
      </c>
      <c r="F254" s="204"/>
      <c r="G254" s="327">
        <v>0</v>
      </c>
      <c r="H254" s="328">
        <v>0</v>
      </c>
      <c r="I254" s="328">
        <v>0</v>
      </c>
      <c r="J254" s="328">
        <v>0</v>
      </c>
      <c r="K254" s="328">
        <v>0</v>
      </c>
      <c r="L254" s="328">
        <v>0</v>
      </c>
      <c r="M254" s="328">
        <v>0</v>
      </c>
      <c r="N254" s="328">
        <v>0</v>
      </c>
      <c r="O254" s="328">
        <v>0</v>
      </c>
      <c r="P254" s="328">
        <v>0</v>
      </c>
      <c r="Q254" s="328">
        <v>0</v>
      </c>
      <c r="R254" s="329">
        <v>0</v>
      </c>
      <c r="S254" s="329">
        <v>0</v>
      </c>
      <c r="T254" s="330">
        <f t="shared" ref="T254" si="16">+SUM(G254:S254)/13</f>
        <v>0</v>
      </c>
    </row>
    <row r="255" spans="1:21">
      <c r="A255" s="175">
        <f>+A254+1</f>
        <v>96</v>
      </c>
      <c r="B255" s="46" t="s">
        <v>41</v>
      </c>
      <c r="C255" s="133"/>
      <c r="E255" s="133">
        <v>274</v>
      </c>
      <c r="F255" s="204"/>
      <c r="G255" s="327">
        <v>0</v>
      </c>
      <c r="H255" s="122"/>
      <c r="I255" s="122"/>
      <c r="J255" s="122"/>
      <c r="K255" s="122"/>
      <c r="L255" s="122"/>
      <c r="M255" s="122"/>
      <c r="N255" s="122"/>
      <c r="O255" s="122"/>
      <c r="P255" s="122"/>
      <c r="Q255" s="122"/>
      <c r="R255" s="98"/>
      <c r="S255" s="329">
        <v>0</v>
      </c>
      <c r="T255" s="330">
        <f>+(G255+S255)/2</f>
        <v>0</v>
      </c>
    </row>
    <row r="256" spans="1:21">
      <c r="E256" s="133"/>
      <c r="G256" s="122"/>
      <c r="H256" s="122"/>
      <c r="I256" s="122"/>
      <c r="J256" s="122"/>
      <c r="K256" s="122"/>
      <c r="L256" s="122"/>
      <c r="M256" s="122"/>
      <c r="N256" s="122"/>
      <c r="O256" s="122"/>
      <c r="P256" s="122"/>
      <c r="Q256" s="122"/>
      <c r="R256" s="122"/>
      <c r="S256" s="122"/>
      <c r="T256" s="331"/>
    </row>
    <row r="257" spans="1:20">
      <c r="A257" s="175"/>
      <c r="B257" s="46" t="str">
        <f>+'7A - Project ROE Adder'!M8</f>
        <v>Name</v>
      </c>
      <c r="C257" s="133"/>
      <c r="E257" s="133"/>
      <c r="F257" s="204"/>
      <c r="G257" s="122"/>
      <c r="H257" s="122"/>
      <c r="I257" s="122"/>
      <c r="J257" s="122"/>
      <c r="K257" s="122"/>
      <c r="L257" s="122"/>
      <c r="M257" s="122"/>
      <c r="N257" s="122"/>
      <c r="O257" s="122"/>
      <c r="P257" s="122"/>
      <c r="Q257" s="122"/>
      <c r="R257" s="122"/>
      <c r="S257" s="122"/>
      <c r="T257" s="331"/>
    </row>
    <row r="258" spans="1:20">
      <c r="A258" s="175">
        <f>+A255+1</f>
        <v>97</v>
      </c>
      <c r="B258" s="46" t="s">
        <v>591</v>
      </c>
      <c r="C258" s="133"/>
      <c r="E258" s="133">
        <v>206</v>
      </c>
      <c r="F258" s="204"/>
      <c r="G258" s="327">
        <v>0</v>
      </c>
      <c r="H258" s="328">
        <v>0</v>
      </c>
      <c r="I258" s="328">
        <v>0</v>
      </c>
      <c r="J258" s="328">
        <v>0</v>
      </c>
      <c r="K258" s="328">
        <v>0</v>
      </c>
      <c r="L258" s="328">
        <v>0</v>
      </c>
      <c r="M258" s="328">
        <v>0</v>
      </c>
      <c r="N258" s="328">
        <v>0</v>
      </c>
      <c r="O258" s="328">
        <v>0</v>
      </c>
      <c r="P258" s="328">
        <v>0</v>
      </c>
      <c r="Q258" s="328">
        <v>0</v>
      </c>
      <c r="R258" s="329">
        <v>0</v>
      </c>
      <c r="S258" s="329">
        <v>0</v>
      </c>
      <c r="T258" s="330">
        <f>+SUM(G258:S258)/13</f>
        <v>0</v>
      </c>
    </row>
    <row r="259" spans="1:20">
      <c r="A259" s="175">
        <f>+A258+1</f>
        <v>98</v>
      </c>
      <c r="B259" s="46" t="s">
        <v>31</v>
      </c>
      <c r="C259" s="133"/>
      <c r="E259" s="133">
        <v>219</v>
      </c>
      <c r="F259" s="204"/>
      <c r="G259" s="327">
        <v>0</v>
      </c>
      <c r="H259" s="328">
        <v>0</v>
      </c>
      <c r="I259" s="328">
        <v>0</v>
      </c>
      <c r="J259" s="328">
        <v>0</v>
      </c>
      <c r="K259" s="328">
        <v>0</v>
      </c>
      <c r="L259" s="328">
        <v>0</v>
      </c>
      <c r="M259" s="328">
        <v>0</v>
      </c>
      <c r="N259" s="328">
        <v>0</v>
      </c>
      <c r="O259" s="328">
        <v>0</v>
      </c>
      <c r="P259" s="328">
        <v>0</v>
      </c>
      <c r="Q259" s="328">
        <v>0</v>
      </c>
      <c r="R259" s="329">
        <v>0</v>
      </c>
      <c r="S259" s="329">
        <v>0</v>
      </c>
      <c r="T259" s="330">
        <f t="shared" ref="T259" si="17">+SUM(G259:S259)/13</f>
        <v>0</v>
      </c>
    </row>
    <row r="260" spans="1:20">
      <c r="A260" s="175">
        <f>+A259+1</f>
        <v>99</v>
      </c>
      <c r="B260" s="46" t="s">
        <v>41</v>
      </c>
      <c r="C260" s="133"/>
      <c r="E260" s="133">
        <v>274</v>
      </c>
      <c r="F260" s="204"/>
      <c r="G260" s="327">
        <v>0</v>
      </c>
      <c r="H260" s="122"/>
      <c r="I260" s="122"/>
      <c r="J260" s="122"/>
      <c r="K260" s="122"/>
      <c r="L260" s="122"/>
      <c r="M260" s="122"/>
      <c r="N260" s="122"/>
      <c r="O260" s="122"/>
      <c r="P260" s="122"/>
      <c r="Q260" s="122"/>
      <c r="R260" s="98"/>
      <c r="S260" s="329">
        <v>0</v>
      </c>
      <c r="T260" s="330">
        <f>+(G260+S260)/2</f>
        <v>0</v>
      </c>
    </row>
    <row r="261" spans="1:20">
      <c r="E261" s="133"/>
      <c r="G261" s="122"/>
      <c r="H261" s="122"/>
      <c r="I261" s="122"/>
      <c r="J261" s="122"/>
      <c r="K261" s="122"/>
      <c r="L261" s="122"/>
      <c r="M261" s="122"/>
      <c r="N261" s="122"/>
      <c r="O261" s="122"/>
      <c r="P261" s="122"/>
      <c r="Q261" s="122"/>
      <c r="R261" s="122"/>
      <c r="S261" s="122"/>
      <c r="T261" s="331"/>
    </row>
    <row r="262" spans="1:20">
      <c r="A262" s="175"/>
      <c r="B262" s="46" t="str">
        <f>+'7A - Project ROE Adder'!O8</f>
        <v>Name</v>
      </c>
      <c r="C262" s="133"/>
      <c r="E262" s="133"/>
      <c r="F262" s="204"/>
      <c r="G262" s="122"/>
      <c r="H262" s="122"/>
      <c r="I262" s="122"/>
      <c r="J262" s="122"/>
      <c r="K262" s="122"/>
      <c r="L262" s="122"/>
      <c r="M262" s="122"/>
      <c r="N262" s="122"/>
      <c r="O262" s="122"/>
      <c r="P262" s="122"/>
      <c r="Q262" s="122"/>
      <c r="R262" s="122"/>
      <c r="S262" s="122"/>
      <c r="T262" s="331"/>
    </row>
    <row r="263" spans="1:20">
      <c r="A263" s="175">
        <f>+A260+1</f>
        <v>100</v>
      </c>
      <c r="B263" s="46" t="s">
        <v>591</v>
      </c>
      <c r="C263" s="133"/>
      <c r="E263" s="133">
        <v>206</v>
      </c>
      <c r="F263" s="204"/>
      <c r="G263" s="327">
        <v>0</v>
      </c>
      <c r="H263" s="328">
        <v>0</v>
      </c>
      <c r="I263" s="328">
        <v>0</v>
      </c>
      <c r="J263" s="328">
        <v>0</v>
      </c>
      <c r="K263" s="328">
        <v>0</v>
      </c>
      <c r="L263" s="328">
        <v>0</v>
      </c>
      <c r="M263" s="328">
        <v>0</v>
      </c>
      <c r="N263" s="328">
        <v>0</v>
      </c>
      <c r="O263" s="328">
        <v>0</v>
      </c>
      <c r="P263" s="328">
        <v>0</v>
      </c>
      <c r="Q263" s="328">
        <v>0</v>
      </c>
      <c r="R263" s="329">
        <v>0</v>
      </c>
      <c r="S263" s="329">
        <v>0</v>
      </c>
      <c r="T263" s="330">
        <f>+SUM(G263:S263)/13</f>
        <v>0</v>
      </c>
    </row>
    <row r="264" spans="1:20">
      <c r="A264" s="175">
        <f>+A263+1</f>
        <v>101</v>
      </c>
      <c r="B264" s="46" t="s">
        <v>31</v>
      </c>
      <c r="C264" s="133"/>
      <c r="E264" s="133">
        <v>219</v>
      </c>
      <c r="F264" s="204"/>
      <c r="G264" s="327">
        <v>0</v>
      </c>
      <c r="H264" s="328">
        <v>0</v>
      </c>
      <c r="I264" s="328">
        <v>0</v>
      </c>
      <c r="J264" s="328">
        <v>0</v>
      </c>
      <c r="K264" s="328">
        <v>0</v>
      </c>
      <c r="L264" s="328">
        <v>0</v>
      </c>
      <c r="M264" s="328">
        <v>0</v>
      </c>
      <c r="N264" s="328">
        <v>0</v>
      </c>
      <c r="O264" s="328">
        <v>0</v>
      </c>
      <c r="P264" s="328">
        <v>0</v>
      </c>
      <c r="Q264" s="328">
        <v>0</v>
      </c>
      <c r="R264" s="329">
        <v>0</v>
      </c>
      <c r="S264" s="329">
        <v>0</v>
      </c>
      <c r="T264" s="330">
        <f t="shared" ref="T264" si="18">+SUM(G264:S264)/13</f>
        <v>0</v>
      </c>
    </row>
    <row r="265" spans="1:20">
      <c r="A265" s="175">
        <f>+A264+1</f>
        <v>102</v>
      </c>
      <c r="B265" s="46" t="s">
        <v>41</v>
      </c>
      <c r="C265" s="133"/>
      <c r="E265" s="133">
        <v>274</v>
      </c>
      <c r="F265" s="204"/>
      <c r="G265" s="327">
        <v>0</v>
      </c>
      <c r="H265" s="122"/>
      <c r="I265" s="122"/>
      <c r="J265" s="122"/>
      <c r="K265" s="122"/>
      <c r="L265" s="122"/>
      <c r="M265" s="122"/>
      <c r="N265" s="122"/>
      <c r="O265" s="122"/>
      <c r="P265" s="122"/>
      <c r="Q265" s="122"/>
      <c r="R265" s="98"/>
      <c r="S265" s="329">
        <v>0</v>
      </c>
      <c r="T265" s="330">
        <f>+(G265+S265)/2</f>
        <v>0</v>
      </c>
    </row>
    <row r="266" spans="1:20">
      <c r="E266" s="133"/>
      <c r="G266" s="122"/>
      <c r="H266" s="122"/>
      <c r="I266" s="122"/>
      <c r="J266" s="122"/>
      <c r="K266" s="122"/>
      <c r="L266" s="122"/>
      <c r="M266" s="122"/>
      <c r="N266" s="122"/>
      <c r="O266" s="122"/>
      <c r="P266" s="122"/>
      <c r="Q266" s="122"/>
      <c r="R266" s="122"/>
      <c r="S266" s="122"/>
      <c r="T266" s="331"/>
    </row>
    <row r="267" spans="1:20">
      <c r="A267" s="175"/>
      <c r="B267" s="46" t="str">
        <f>+'7A - Project ROE Adder'!Q8</f>
        <v>Name</v>
      </c>
      <c r="C267" s="133"/>
      <c r="E267" s="133"/>
      <c r="F267" s="204"/>
      <c r="G267" s="122"/>
      <c r="H267" s="122"/>
      <c r="I267" s="122"/>
      <c r="J267" s="122"/>
      <c r="K267" s="122"/>
      <c r="L267" s="122"/>
      <c r="M267" s="122"/>
      <c r="N267" s="122"/>
      <c r="O267" s="122"/>
      <c r="P267" s="122"/>
      <c r="Q267" s="122"/>
      <c r="R267" s="122"/>
      <c r="S267" s="122"/>
      <c r="T267" s="331"/>
    </row>
    <row r="268" spans="1:20">
      <c r="A268" s="175">
        <f>+A265+1</f>
        <v>103</v>
      </c>
      <c r="B268" s="46" t="s">
        <v>591</v>
      </c>
      <c r="C268" s="133"/>
      <c r="E268" s="133">
        <v>206</v>
      </c>
      <c r="F268" s="204"/>
      <c r="G268" s="327">
        <v>0</v>
      </c>
      <c r="H268" s="328">
        <v>0</v>
      </c>
      <c r="I268" s="328">
        <v>0</v>
      </c>
      <c r="J268" s="328">
        <v>0</v>
      </c>
      <c r="K268" s="328">
        <v>0</v>
      </c>
      <c r="L268" s="328">
        <v>0</v>
      </c>
      <c r="M268" s="328">
        <v>0</v>
      </c>
      <c r="N268" s="328">
        <v>0</v>
      </c>
      <c r="O268" s="328">
        <v>0</v>
      </c>
      <c r="P268" s="328">
        <v>0</v>
      </c>
      <c r="Q268" s="328">
        <v>0</v>
      </c>
      <c r="R268" s="329">
        <v>0</v>
      </c>
      <c r="S268" s="329">
        <v>0</v>
      </c>
      <c r="T268" s="330">
        <f>+SUM(G268:S268)/13</f>
        <v>0</v>
      </c>
    </row>
    <row r="269" spans="1:20">
      <c r="A269" s="175">
        <f>+A268+1</f>
        <v>104</v>
      </c>
      <c r="B269" s="46" t="s">
        <v>31</v>
      </c>
      <c r="C269" s="133"/>
      <c r="E269" s="133">
        <v>219</v>
      </c>
      <c r="F269" s="204"/>
      <c r="G269" s="327">
        <v>0</v>
      </c>
      <c r="H269" s="328">
        <v>0</v>
      </c>
      <c r="I269" s="328">
        <v>0</v>
      </c>
      <c r="J269" s="328">
        <v>0</v>
      </c>
      <c r="K269" s="328">
        <v>0</v>
      </c>
      <c r="L269" s="328">
        <v>0</v>
      </c>
      <c r="M269" s="328">
        <v>0</v>
      </c>
      <c r="N269" s="328">
        <v>0</v>
      </c>
      <c r="O269" s="328">
        <v>0</v>
      </c>
      <c r="P269" s="328">
        <v>0</v>
      </c>
      <c r="Q269" s="328">
        <v>0</v>
      </c>
      <c r="R269" s="329">
        <v>0</v>
      </c>
      <c r="S269" s="329">
        <v>0</v>
      </c>
      <c r="T269" s="330">
        <f t="shared" ref="T269" si="19">+SUM(G269:S269)/13</f>
        <v>0</v>
      </c>
    </row>
    <row r="270" spans="1:20">
      <c r="A270" s="175">
        <f>+A269+1</f>
        <v>105</v>
      </c>
      <c r="B270" s="46" t="s">
        <v>41</v>
      </c>
      <c r="C270" s="133"/>
      <c r="E270" s="133">
        <v>274</v>
      </c>
      <c r="F270" s="204"/>
      <c r="G270" s="327">
        <v>0</v>
      </c>
      <c r="H270" s="122"/>
      <c r="I270" s="122"/>
      <c r="J270" s="122"/>
      <c r="K270" s="122"/>
      <c r="L270" s="122"/>
      <c r="M270" s="122"/>
      <c r="N270" s="122"/>
      <c r="O270" s="122"/>
      <c r="P270" s="122"/>
      <c r="Q270" s="122"/>
      <c r="R270" s="98"/>
      <c r="S270" s="329">
        <v>0</v>
      </c>
      <c r="T270" s="330">
        <f>+(G270+S270)/2</f>
        <v>0</v>
      </c>
    </row>
    <row r="271" spans="1:20">
      <c r="E271" s="133"/>
      <c r="G271" s="122"/>
      <c r="H271" s="122"/>
      <c r="I271" s="122"/>
      <c r="J271" s="122"/>
      <c r="K271" s="122"/>
      <c r="L271" s="122"/>
      <c r="M271" s="122"/>
      <c r="N271" s="122"/>
      <c r="O271" s="122"/>
      <c r="P271" s="122"/>
      <c r="Q271" s="122"/>
      <c r="R271" s="122"/>
      <c r="S271" s="122"/>
      <c r="T271" s="331"/>
    </row>
    <row r="272" spans="1:20">
      <c r="A272" s="175"/>
      <c r="B272" s="46" t="str">
        <f>+'7A - Project ROE Adder'!S8</f>
        <v>Name</v>
      </c>
      <c r="C272" s="133"/>
      <c r="E272" s="133"/>
      <c r="F272" s="204"/>
      <c r="G272" s="122"/>
      <c r="H272" s="122"/>
      <c r="I272" s="122"/>
      <c r="J272" s="122"/>
      <c r="K272" s="122"/>
      <c r="L272" s="122"/>
      <c r="M272" s="122"/>
      <c r="N272" s="122"/>
      <c r="O272" s="122"/>
      <c r="P272" s="122"/>
      <c r="Q272" s="122"/>
      <c r="R272" s="122"/>
      <c r="S272" s="122"/>
      <c r="T272" s="331"/>
    </row>
    <row r="273" spans="1:20">
      <c r="A273" s="175">
        <f>+A270+1</f>
        <v>106</v>
      </c>
      <c r="B273" s="46" t="s">
        <v>591</v>
      </c>
      <c r="C273" s="133"/>
      <c r="E273" s="133">
        <v>206</v>
      </c>
      <c r="F273" s="204"/>
      <c r="G273" s="327">
        <v>0</v>
      </c>
      <c r="H273" s="328">
        <v>0</v>
      </c>
      <c r="I273" s="328">
        <v>0</v>
      </c>
      <c r="J273" s="328">
        <v>0</v>
      </c>
      <c r="K273" s="328">
        <v>0</v>
      </c>
      <c r="L273" s="328">
        <v>0</v>
      </c>
      <c r="M273" s="328">
        <v>0</v>
      </c>
      <c r="N273" s="328">
        <v>0</v>
      </c>
      <c r="O273" s="328">
        <v>0</v>
      </c>
      <c r="P273" s="328">
        <v>0</v>
      </c>
      <c r="Q273" s="328">
        <v>0</v>
      </c>
      <c r="R273" s="329">
        <v>0</v>
      </c>
      <c r="S273" s="329">
        <v>0</v>
      </c>
      <c r="T273" s="330">
        <f>+SUM(G273:S273)/13</f>
        <v>0</v>
      </c>
    </row>
    <row r="274" spans="1:20">
      <c r="A274" s="175">
        <f>+A273+1</f>
        <v>107</v>
      </c>
      <c r="B274" s="46" t="s">
        <v>31</v>
      </c>
      <c r="C274" s="133"/>
      <c r="E274" s="133">
        <v>219</v>
      </c>
      <c r="F274" s="204"/>
      <c r="G274" s="327">
        <v>0</v>
      </c>
      <c r="H274" s="328">
        <v>0</v>
      </c>
      <c r="I274" s="328">
        <v>0</v>
      </c>
      <c r="J274" s="328">
        <v>0</v>
      </c>
      <c r="K274" s="328">
        <v>0</v>
      </c>
      <c r="L274" s="328">
        <v>0</v>
      </c>
      <c r="M274" s="328">
        <v>0</v>
      </c>
      <c r="N274" s="328">
        <v>0</v>
      </c>
      <c r="O274" s="328">
        <v>0</v>
      </c>
      <c r="P274" s="328">
        <v>0</v>
      </c>
      <c r="Q274" s="328">
        <v>0</v>
      </c>
      <c r="R274" s="329">
        <v>0</v>
      </c>
      <c r="S274" s="329">
        <v>0</v>
      </c>
      <c r="T274" s="330">
        <f t="shared" ref="T274" si="20">+SUM(G274:S274)/13</f>
        <v>0</v>
      </c>
    </row>
    <row r="275" spans="1:20">
      <c r="A275" s="175">
        <f>+A274+1</f>
        <v>108</v>
      </c>
      <c r="B275" s="46" t="s">
        <v>41</v>
      </c>
      <c r="C275" s="133"/>
      <c r="E275" s="133">
        <v>274</v>
      </c>
      <c r="F275" s="204"/>
      <c r="G275" s="327">
        <v>0</v>
      </c>
      <c r="H275" s="122"/>
      <c r="I275" s="122"/>
      <c r="J275" s="122"/>
      <c r="K275" s="122"/>
      <c r="L275" s="122"/>
      <c r="M275" s="122"/>
      <c r="N275" s="122"/>
      <c r="O275" s="122"/>
      <c r="P275" s="122"/>
      <c r="Q275" s="122"/>
      <c r="R275" s="98"/>
      <c r="S275" s="329">
        <v>0</v>
      </c>
      <c r="T275" s="330">
        <f>+(G275+S275)/2</f>
        <v>0</v>
      </c>
    </row>
    <row r="276" spans="1:20">
      <c r="E276" s="133"/>
      <c r="G276" s="122"/>
      <c r="H276" s="122"/>
      <c r="I276" s="122"/>
      <c r="J276" s="122"/>
      <c r="K276" s="122"/>
      <c r="L276" s="122"/>
      <c r="M276" s="122"/>
      <c r="N276" s="122"/>
      <c r="O276" s="122"/>
      <c r="P276" s="122"/>
      <c r="Q276" s="122"/>
      <c r="R276" s="122"/>
      <c r="S276" s="122"/>
      <c r="T276" s="331"/>
    </row>
    <row r="277" spans="1:20">
      <c r="A277" s="175"/>
      <c r="B277" s="46" t="str">
        <f>+'7A - Project ROE Adder'!U8</f>
        <v>Name</v>
      </c>
      <c r="C277" s="133"/>
      <c r="E277" s="133"/>
      <c r="F277" s="204"/>
      <c r="G277" s="122"/>
      <c r="H277" s="122"/>
      <c r="I277" s="122"/>
      <c r="J277" s="122"/>
      <c r="K277" s="122"/>
      <c r="L277" s="122"/>
      <c r="M277" s="122"/>
      <c r="N277" s="122"/>
      <c r="O277" s="122"/>
      <c r="P277" s="122"/>
      <c r="Q277" s="122"/>
      <c r="R277" s="122"/>
      <c r="S277" s="122"/>
      <c r="T277" s="331"/>
    </row>
    <row r="278" spans="1:20">
      <c r="A278" s="175">
        <f>+A275+1</f>
        <v>109</v>
      </c>
      <c r="B278" s="46" t="s">
        <v>591</v>
      </c>
      <c r="C278" s="133"/>
      <c r="E278" s="133">
        <v>206</v>
      </c>
      <c r="F278" s="204"/>
      <c r="G278" s="327">
        <v>0</v>
      </c>
      <c r="H278" s="328">
        <v>0</v>
      </c>
      <c r="I278" s="328">
        <v>0</v>
      </c>
      <c r="J278" s="328">
        <v>0</v>
      </c>
      <c r="K278" s="328">
        <v>0</v>
      </c>
      <c r="L278" s="328">
        <v>0</v>
      </c>
      <c r="M278" s="328">
        <v>0</v>
      </c>
      <c r="N278" s="328">
        <v>0</v>
      </c>
      <c r="O278" s="328">
        <v>0</v>
      </c>
      <c r="P278" s="328">
        <v>0</v>
      </c>
      <c r="Q278" s="328">
        <v>0</v>
      </c>
      <c r="R278" s="329">
        <v>0</v>
      </c>
      <c r="S278" s="329">
        <v>0</v>
      </c>
      <c r="T278" s="330">
        <f>+SUM(G278:S278)/13</f>
        <v>0</v>
      </c>
    </row>
    <row r="279" spans="1:20">
      <c r="A279" s="175">
        <f>+A278+1</f>
        <v>110</v>
      </c>
      <c r="B279" s="46" t="s">
        <v>31</v>
      </c>
      <c r="C279" s="133"/>
      <c r="E279" s="133">
        <v>219</v>
      </c>
      <c r="F279" s="204"/>
      <c r="G279" s="327">
        <v>0</v>
      </c>
      <c r="H279" s="328">
        <v>0</v>
      </c>
      <c r="I279" s="328">
        <v>0</v>
      </c>
      <c r="J279" s="328">
        <v>0</v>
      </c>
      <c r="K279" s="328">
        <v>0</v>
      </c>
      <c r="L279" s="328">
        <v>0</v>
      </c>
      <c r="M279" s="328">
        <v>0</v>
      </c>
      <c r="N279" s="328">
        <v>0</v>
      </c>
      <c r="O279" s="328">
        <v>0</v>
      </c>
      <c r="P279" s="328">
        <v>0</v>
      </c>
      <c r="Q279" s="328">
        <v>0</v>
      </c>
      <c r="R279" s="329">
        <v>0</v>
      </c>
      <c r="S279" s="329">
        <v>0</v>
      </c>
      <c r="T279" s="330">
        <f t="shared" ref="T279" si="21">+SUM(G279:S279)/13</f>
        <v>0</v>
      </c>
    </row>
    <row r="280" spans="1:20">
      <c r="A280" s="175">
        <f>+A279+1</f>
        <v>111</v>
      </c>
      <c r="B280" s="46" t="s">
        <v>41</v>
      </c>
      <c r="C280" s="133"/>
      <c r="E280" s="133">
        <v>274</v>
      </c>
      <c r="F280" s="204"/>
      <c r="G280" s="327">
        <v>0</v>
      </c>
      <c r="H280" s="122"/>
      <c r="I280" s="122"/>
      <c r="J280" s="122"/>
      <c r="K280" s="122"/>
      <c r="L280" s="122"/>
      <c r="M280" s="122"/>
      <c r="N280" s="122"/>
      <c r="O280" s="122"/>
      <c r="P280" s="122"/>
      <c r="Q280" s="122"/>
      <c r="R280" s="98"/>
      <c r="S280" s="329">
        <v>0</v>
      </c>
      <c r="T280" s="330">
        <f>+(G280+S280)/2</f>
        <v>0</v>
      </c>
    </row>
    <row r="281" spans="1:20">
      <c r="E281" s="133"/>
      <c r="G281" s="122"/>
      <c r="H281" s="122"/>
      <c r="I281" s="122"/>
      <c r="J281" s="122"/>
      <c r="K281" s="122"/>
      <c r="L281" s="122"/>
      <c r="M281" s="122"/>
      <c r="N281" s="122"/>
      <c r="O281" s="122"/>
      <c r="P281" s="122"/>
      <c r="Q281" s="122"/>
      <c r="R281" s="122"/>
      <c r="S281" s="122"/>
      <c r="T281" s="331"/>
    </row>
    <row r="282" spans="1:20">
      <c r="A282" s="175"/>
      <c r="B282" s="46" t="str">
        <f>+'7A - Project ROE Adder'!W8</f>
        <v>Name</v>
      </c>
      <c r="C282" s="133"/>
      <c r="E282" s="133"/>
      <c r="F282" s="204"/>
      <c r="G282" s="122"/>
      <c r="H282" s="122"/>
      <c r="I282" s="122"/>
      <c r="J282" s="122"/>
      <c r="K282" s="122"/>
      <c r="L282" s="122"/>
      <c r="M282" s="122"/>
      <c r="N282" s="122"/>
      <c r="O282" s="122"/>
      <c r="P282" s="122"/>
      <c r="Q282" s="122"/>
      <c r="R282" s="122"/>
      <c r="S282" s="122"/>
      <c r="T282" s="331"/>
    </row>
    <row r="283" spans="1:20">
      <c r="A283" s="175">
        <f>+A280+1</f>
        <v>112</v>
      </c>
      <c r="B283" s="46" t="s">
        <v>591</v>
      </c>
      <c r="C283" s="133"/>
      <c r="E283" s="133">
        <v>206</v>
      </c>
      <c r="F283" s="204"/>
      <c r="G283" s="327">
        <v>0</v>
      </c>
      <c r="H283" s="328">
        <v>0</v>
      </c>
      <c r="I283" s="328">
        <v>0</v>
      </c>
      <c r="J283" s="328">
        <v>0</v>
      </c>
      <c r="K283" s="328">
        <v>0</v>
      </c>
      <c r="L283" s="328">
        <v>0</v>
      </c>
      <c r="M283" s="328">
        <v>0</v>
      </c>
      <c r="N283" s="328">
        <v>0</v>
      </c>
      <c r="O283" s="328">
        <v>0</v>
      </c>
      <c r="P283" s="328">
        <v>0</v>
      </c>
      <c r="Q283" s="328">
        <v>0</v>
      </c>
      <c r="R283" s="329">
        <v>0</v>
      </c>
      <c r="S283" s="329">
        <v>0</v>
      </c>
      <c r="T283" s="330">
        <f>+SUM(G283:S283)/13</f>
        <v>0</v>
      </c>
    </row>
    <row r="284" spans="1:20">
      <c r="A284" s="175">
        <f>+A283+1</f>
        <v>113</v>
      </c>
      <c r="B284" s="46" t="s">
        <v>31</v>
      </c>
      <c r="C284" s="133"/>
      <c r="E284" s="133">
        <v>219</v>
      </c>
      <c r="F284" s="204"/>
      <c r="G284" s="327">
        <v>0</v>
      </c>
      <c r="H284" s="328">
        <v>0</v>
      </c>
      <c r="I284" s="328">
        <v>0</v>
      </c>
      <c r="J284" s="328">
        <v>0</v>
      </c>
      <c r="K284" s="328">
        <v>0</v>
      </c>
      <c r="L284" s="328">
        <v>0</v>
      </c>
      <c r="M284" s="328">
        <v>0</v>
      </c>
      <c r="N284" s="328">
        <v>0</v>
      </c>
      <c r="O284" s="328">
        <v>0</v>
      </c>
      <c r="P284" s="328">
        <v>0</v>
      </c>
      <c r="Q284" s="328">
        <v>0</v>
      </c>
      <c r="R284" s="329">
        <v>0</v>
      </c>
      <c r="S284" s="329">
        <v>0</v>
      </c>
      <c r="T284" s="330">
        <f t="shared" ref="T284" si="22">+SUM(G284:S284)/13</f>
        <v>0</v>
      </c>
    </row>
    <row r="285" spans="1:20">
      <c r="A285" s="175">
        <f>+A284+1</f>
        <v>114</v>
      </c>
      <c r="B285" s="46" t="s">
        <v>41</v>
      </c>
      <c r="C285" s="133"/>
      <c r="E285" s="133">
        <v>274</v>
      </c>
      <c r="F285" s="204"/>
      <c r="G285" s="327">
        <v>0</v>
      </c>
      <c r="H285" s="122"/>
      <c r="I285" s="122"/>
      <c r="J285" s="122"/>
      <c r="K285" s="122"/>
      <c r="L285" s="122"/>
      <c r="M285" s="122"/>
      <c r="N285" s="122"/>
      <c r="O285" s="122"/>
      <c r="P285" s="122"/>
      <c r="Q285" s="122"/>
      <c r="R285" s="98"/>
      <c r="S285" s="329">
        <v>0</v>
      </c>
      <c r="T285" s="330">
        <f>+(G285+S285)/2</f>
        <v>0</v>
      </c>
    </row>
    <row r="286" spans="1:20">
      <c r="E286" s="133"/>
      <c r="G286" s="122"/>
      <c r="H286" s="122"/>
      <c r="I286" s="122"/>
      <c r="J286" s="122"/>
      <c r="K286" s="122"/>
      <c r="L286" s="122"/>
      <c r="M286" s="122"/>
      <c r="N286" s="122"/>
      <c r="O286" s="122"/>
      <c r="P286" s="122"/>
      <c r="Q286" s="122"/>
      <c r="R286" s="122"/>
      <c r="S286" s="122"/>
      <c r="T286" s="331"/>
    </row>
    <row r="287" spans="1:20">
      <c r="A287" s="175"/>
      <c r="B287" s="46" t="str">
        <f>+'7A - Project ROE Adder'!Y8</f>
        <v>Name</v>
      </c>
      <c r="C287" s="133"/>
      <c r="E287" s="133"/>
      <c r="F287" s="204"/>
      <c r="G287" s="122"/>
      <c r="H287" s="122"/>
      <c r="I287" s="122"/>
      <c r="J287" s="122"/>
      <c r="K287" s="122"/>
      <c r="L287" s="122"/>
      <c r="M287" s="122"/>
      <c r="N287" s="122"/>
      <c r="O287" s="122"/>
      <c r="P287" s="122"/>
      <c r="Q287" s="122"/>
      <c r="R287" s="122"/>
      <c r="S287" s="122"/>
      <c r="T287" s="331"/>
    </row>
    <row r="288" spans="1:20">
      <c r="A288" s="175">
        <f>+A285+1</f>
        <v>115</v>
      </c>
      <c r="B288" s="46" t="s">
        <v>591</v>
      </c>
      <c r="C288" s="133"/>
      <c r="E288" s="133">
        <v>206</v>
      </c>
      <c r="F288" s="204"/>
      <c r="G288" s="327">
        <v>0</v>
      </c>
      <c r="H288" s="328">
        <v>0</v>
      </c>
      <c r="I288" s="328">
        <v>0</v>
      </c>
      <c r="J288" s="328">
        <v>0</v>
      </c>
      <c r="K288" s="328">
        <v>0</v>
      </c>
      <c r="L288" s="328">
        <v>0</v>
      </c>
      <c r="M288" s="328">
        <v>0</v>
      </c>
      <c r="N288" s="328">
        <v>0</v>
      </c>
      <c r="O288" s="328">
        <v>0</v>
      </c>
      <c r="P288" s="328">
        <v>0</v>
      </c>
      <c r="Q288" s="328">
        <v>0</v>
      </c>
      <c r="R288" s="329">
        <v>0</v>
      </c>
      <c r="S288" s="329">
        <v>0</v>
      </c>
      <c r="T288" s="330">
        <f>+SUM(G288:S288)/13</f>
        <v>0</v>
      </c>
    </row>
    <row r="289" spans="1:21">
      <c r="A289" s="175">
        <f>+A288+1</f>
        <v>116</v>
      </c>
      <c r="B289" s="46" t="s">
        <v>31</v>
      </c>
      <c r="C289" s="133"/>
      <c r="E289" s="133">
        <v>219</v>
      </c>
      <c r="F289" s="204"/>
      <c r="G289" s="327">
        <v>0</v>
      </c>
      <c r="H289" s="328">
        <v>0</v>
      </c>
      <c r="I289" s="328">
        <v>0</v>
      </c>
      <c r="J289" s="328">
        <v>0</v>
      </c>
      <c r="K289" s="328">
        <v>0</v>
      </c>
      <c r="L289" s="328">
        <v>0</v>
      </c>
      <c r="M289" s="328">
        <v>0</v>
      </c>
      <c r="N289" s="328">
        <v>0</v>
      </c>
      <c r="O289" s="328">
        <v>0</v>
      </c>
      <c r="P289" s="328">
        <v>0</v>
      </c>
      <c r="Q289" s="328">
        <v>0</v>
      </c>
      <c r="R289" s="329">
        <v>0</v>
      </c>
      <c r="S289" s="329">
        <v>0</v>
      </c>
      <c r="T289" s="330">
        <f t="shared" ref="T289" si="23">+SUM(G289:S289)/13</f>
        <v>0</v>
      </c>
    </row>
    <row r="290" spans="1:21">
      <c r="A290" s="175">
        <f>+A289+1</f>
        <v>117</v>
      </c>
      <c r="B290" s="46" t="s">
        <v>41</v>
      </c>
      <c r="C290" s="133"/>
      <c r="E290" s="133">
        <v>274</v>
      </c>
      <c r="F290" s="204"/>
      <c r="G290" s="327">
        <v>0</v>
      </c>
      <c r="H290" s="122"/>
      <c r="I290" s="122"/>
      <c r="J290" s="122"/>
      <c r="K290" s="122"/>
      <c r="L290" s="122"/>
      <c r="M290" s="122"/>
      <c r="N290" s="122"/>
      <c r="O290" s="122"/>
      <c r="P290" s="122"/>
      <c r="Q290" s="122"/>
      <c r="R290" s="98"/>
      <c r="S290" s="329">
        <v>0</v>
      </c>
      <c r="T290" s="330">
        <f>+(G290+S290)/2</f>
        <v>0</v>
      </c>
    </row>
    <row r="291" spans="1:21" ht="15" thickBot="1">
      <c r="A291" s="184"/>
      <c r="B291" s="184"/>
      <c r="C291" s="184"/>
      <c r="D291" s="184"/>
      <c r="E291" s="184"/>
      <c r="F291" s="184"/>
      <c r="G291" s="184"/>
      <c r="H291" s="184"/>
      <c r="I291" s="184"/>
      <c r="J291" s="184"/>
      <c r="K291" s="184"/>
      <c r="L291" s="184"/>
      <c r="M291" s="184"/>
      <c r="N291" s="184"/>
      <c r="O291" s="184"/>
      <c r="P291" s="184"/>
      <c r="Q291" s="184"/>
      <c r="R291" s="184"/>
      <c r="S291" s="184"/>
      <c r="T291" s="332"/>
    </row>
    <row r="292" spans="1:21" ht="15" thickBot="1">
      <c r="U292" s="24"/>
    </row>
    <row r="293" spans="1:21" ht="15.75" thickBot="1">
      <c r="A293" s="132" t="s">
        <v>592</v>
      </c>
      <c r="G293" s="163" t="s">
        <v>443</v>
      </c>
      <c r="H293" s="737" t="s">
        <v>590</v>
      </c>
      <c r="I293" s="738"/>
      <c r="J293" s="738"/>
      <c r="K293" s="738"/>
      <c r="L293" s="738"/>
      <c r="M293" s="738"/>
      <c r="N293" s="738"/>
      <c r="O293" s="738"/>
      <c r="P293" s="738"/>
      <c r="Q293" s="738"/>
      <c r="R293" s="738"/>
      <c r="S293" s="739"/>
    </row>
    <row r="294" spans="1:21" ht="30.75" thickBot="1">
      <c r="A294" s="216" t="s">
        <v>444</v>
      </c>
      <c r="B294" s="217" t="s">
        <v>445</v>
      </c>
      <c r="C294" s="217"/>
      <c r="D294" s="217"/>
      <c r="E294" s="218" t="s">
        <v>446</v>
      </c>
      <c r="F294" s="219" t="s">
        <v>447</v>
      </c>
      <c r="G294" s="167" t="s">
        <v>448</v>
      </c>
      <c r="H294" s="51" t="s">
        <v>449</v>
      </c>
      <c r="I294" s="51" t="s">
        <v>450</v>
      </c>
      <c r="J294" s="51" t="s">
        <v>451</v>
      </c>
      <c r="K294" s="51" t="s">
        <v>452</v>
      </c>
      <c r="L294" s="51" t="s">
        <v>335</v>
      </c>
      <c r="M294" s="51" t="s">
        <v>453</v>
      </c>
      <c r="N294" s="51" t="s">
        <v>454</v>
      </c>
      <c r="O294" s="51" t="s">
        <v>455</v>
      </c>
      <c r="P294" s="51" t="s">
        <v>456</v>
      </c>
      <c r="Q294" s="51" t="s">
        <v>457</v>
      </c>
      <c r="R294" s="51" t="s">
        <v>458</v>
      </c>
      <c r="S294" s="51" t="s">
        <v>459</v>
      </c>
      <c r="T294" s="52" t="s">
        <v>593</v>
      </c>
    </row>
    <row r="295" spans="1:21">
      <c r="A295" s="175"/>
      <c r="B295" s="176" t="s">
        <v>594</v>
      </c>
      <c r="C295" s="179"/>
      <c r="F295" s="204"/>
      <c r="T295" s="326"/>
    </row>
    <row r="296" spans="1:21">
      <c r="A296" s="175">
        <f>+A290+1</f>
        <v>118</v>
      </c>
      <c r="B296" s="46" t="s">
        <v>595</v>
      </c>
      <c r="C296" s="133"/>
      <c r="E296" s="133" t="s">
        <v>596</v>
      </c>
      <c r="F296" s="204"/>
      <c r="G296" s="327">
        <f>1340434+1475540</f>
        <v>2815974</v>
      </c>
      <c r="H296" s="327">
        <f>1362590+1467191</f>
        <v>2829781</v>
      </c>
      <c r="I296" s="327">
        <f>1374064+2434436</f>
        <v>3808500</v>
      </c>
      <c r="J296" s="327">
        <f>1385270+2334469</f>
        <v>3719739</v>
      </c>
      <c r="K296" s="327">
        <f>1394024+2730097</f>
        <v>4124121</v>
      </c>
      <c r="L296" s="327">
        <f>1612986+3586099</f>
        <v>5199085</v>
      </c>
      <c r="M296" s="327">
        <f>1625889+3659303</f>
        <v>5285192</v>
      </c>
      <c r="N296" s="327">
        <f>1630669+4119863</f>
        <v>5750532</v>
      </c>
      <c r="O296" s="327">
        <f>2883775+4335098</f>
        <v>7218873</v>
      </c>
      <c r="P296" s="327">
        <f>3251160+4814334</f>
        <v>8065494</v>
      </c>
      <c r="Q296" s="327">
        <f>3712027+5924119</f>
        <v>9636146</v>
      </c>
      <c r="R296" s="327">
        <f>4111989+6231405</f>
        <v>10343394</v>
      </c>
      <c r="S296" s="327">
        <f>4836956+8236982</f>
        <v>13073938</v>
      </c>
      <c r="T296" s="330">
        <f>+SUM(G296:S296)/13</f>
        <v>6297751.461538462</v>
      </c>
    </row>
    <row r="297" spans="1:21">
      <c r="A297" s="175">
        <f>+A296+1</f>
        <v>119</v>
      </c>
      <c r="B297" s="46" t="s">
        <v>31</v>
      </c>
      <c r="C297" s="133"/>
      <c r="E297" s="133">
        <v>219</v>
      </c>
      <c r="F297" s="204"/>
      <c r="G297" s="333">
        <v>0</v>
      </c>
      <c r="H297" s="333">
        <v>0</v>
      </c>
      <c r="I297" s="333">
        <v>0</v>
      </c>
      <c r="J297" s="333">
        <v>0</v>
      </c>
      <c r="K297" s="333">
        <v>0</v>
      </c>
      <c r="L297" s="333">
        <v>0</v>
      </c>
      <c r="M297" s="333">
        <f>M298</f>
        <v>0</v>
      </c>
      <c r="N297" s="333">
        <f>M297+N298</f>
        <v>0</v>
      </c>
      <c r="O297" s="333">
        <f t="shared" ref="O297:S297" si="24">N297+O298</f>
        <v>0</v>
      </c>
      <c r="P297" s="333">
        <f t="shared" si="24"/>
        <v>0</v>
      </c>
      <c r="Q297" s="333">
        <f t="shared" si="24"/>
        <v>0</v>
      </c>
      <c r="R297" s="333">
        <f t="shared" si="24"/>
        <v>0</v>
      </c>
      <c r="S297" s="333">
        <f t="shared" si="24"/>
        <v>0</v>
      </c>
      <c r="T297" s="330">
        <f t="shared" ref="T297" si="25">+SUM(G297:S297)/13</f>
        <v>0</v>
      </c>
    </row>
    <row r="298" spans="1:21">
      <c r="A298" s="175">
        <f>+A297+1</f>
        <v>120</v>
      </c>
      <c r="B298" s="46" t="s">
        <v>597</v>
      </c>
      <c r="C298" s="133"/>
      <c r="E298" s="133">
        <v>336</v>
      </c>
      <c r="F298" s="204"/>
      <c r="G298" s="158"/>
      <c r="H298" s="122"/>
      <c r="I298" s="122"/>
      <c r="J298" s="122"/>
      <c r="K298" s="122"/>
      <c r="L298" s="122"/>
      <c r="M298" s="122"/>
      <c r="N298" s="122"/>
      <c r="O298" s="122"/>
      <c r="P298" s="122"/>
      <c r="Q298" s="122"/>
      <c r="R298" s="122"/>
      <c r="S298" s="122"/>
      <c r="T298" s="334">
        <f>SUM(H298:S298)</f>
        <v>0</v>
      </c>
    </row>
    <row r="299" spans="1:21">
      <c r="A299" s="175"/>
      <c r="C299" s="133"/>
      <c r="E299" s="133"/>
      <c r="F299" s="204"/>
      <c r="G299" s="158"/>
      <c r="H299" s="122"/>
      <c r="I299" s="122"/>
      <c r="J299" s="122"/>
      <c r="K299" s="122"/>
      <c r="L299" s="122"/>
      <c r="M299" s="122"/>
      <c r="N299" s="122"/>
      <c r="O299" s="122"/>
      <c r="P299" s="122"/>
      <c r="Q299" s="122"/>
      <c r="R299" s="98"/>
      <c r="S299" s="98"/>
      <c r="T299" s="330"/>
    </row>
    <row r="300" spans="1:21">
      <c r="A300" s="175"/>
      <c r="B300" s="176" t="str">
        <f>+'7B - Schedule 12 Projects'!I8</f>
        <v>Name</v>
      </c>
      <c r="C300" s="133"/>
      <c r="E300" s="133"/>
      <c r="F300" s="204"/>
      <c r="G300" s="122"/>
      <c r="H300" s="122"/>
      <c r="I300" s="122"/>
      <c r="J300" s="122"/>
      <c r="K300" s="122"/>
      <c r="L300" s="122"/>
      <c r="M300" s="122"/>
      <c r="N300" s="122"/>
      <c r="O300" s="122"/>
      <c r="P300" s="122"/>
      <c r="Q300" s="122"/>
      <c r="R300" s="122"/>
      <c r="S300" s="122"/>
      <c r="T300" s="331"/>
    </row>
    <row r="301" spans="1:21">
      <c r="A301" s="175">
        <f>+A298+1</f>
        <v>121</v>
      </c>
      <c r="B301" s="46" t="s">
        <v>595</v>
      </c>
      <c r="C301" s="133"/>
      <c r="E301" s="133" t="s">
        <v>596</v>
      </c>
      <c r="F301" s="204"/>
      <c r="G301" s="333">
        <v>0</v>
      </c>
      <c r="H301" s="328">
        <v>0</v>
      </c>
      <c r="I301" s="328">
        <v>0</v>
      </c>
      <c r="J301" s="328">
        <v>0</v>
      </c>
      <c r="K301" s="328">
        <v>0</v>
      </c>
      <c r="L301" s="328">
        <v>0</v>
      </c>
      <c r="M301" s="328">
        <v>0</v>
      </c>
      <c r="N301" s="328">
        <v>0</v>
      </c>
      <c r="O301" s="328">
        <v>0</v>
      </c>
      <c r="P301" s="328">
        <v>0</v>
      </c>
      <c r="Q301" s="328">
        <v>0</v>
      </c>
      <c r="R301" s="329">
        <v>0</v>
      </c>
      <c r="S301" s="329">
        <v>0</v>
      </c>
      <c r="T301" s="330">
        <f>+SUM(G301:S301)/13</f>
        <v>0</v>
      </c>
    </row>
    <row r="302" spans="1:21">
      <c r="A302" s="175">
        <f>+A301+1</f>
        <v>122</v>
      </c>
      <c r="B302" s="46" t="s">
        <v>31</v>
      </c>
      <c r="C302" s="133"/>
      <c r="E302" s="133">
        <v>219</v>
      </c>
      <c r="F302" s="204"/>
      <c r="G302" s="333">
        <v>0</v>
      </c>
      <c r="H302" s="328">
        <v>0</v>
      </c>
      <c r="I302" s="328">
        <v>0</v>
      </c>
      <c r="J302" s="328">
        <v>0</v>
      </c>
      <c r="K302" s="328">
        <v>0</v>
      </c>
      <c r="L302" s="328">
        <v>0</v>
      </c>
      <c r="M302" s="328">
        <v>0</v>
      </c>
      <c r="N302" s="328">
        <v>0</v>
      </c>
      <c r="O302" s="328">
        <v>0</v>
      </c>
      <c r="P302" s="328">
        <v>0</v>
      </c>
      <c r="Q302" s="328">
        <v>0</v>
      </c>
      <c r="R302" s="329">
        <v>0</v>
      </c>
      <c r="S302" s="329">
        <v>0</v>
      </c>
      <c r="T302" s="330">
        <f t="shared" ref="T302" si="26">+SUM(G302:S302)/13</f>
        <v>0</v>
      </c>
    </row>
    <row r="303" spans="1:21">
      <c r="A303" s="115">
        <f>+A302+1</f>
        <v>123</v>
      </c>
      <c r="B303" s="46" t="s">
        <v>597</v>
      </c>
      <c r="C303" s="133"/>
      <c r="E303" s="133">
        <v>336</v>
      </c>
      <c r="F303" s="204"/>
      <c r="G303" s="204"/>
      <c r="H303" s="122"/>
      <c r="I303" s="122"/>
      <c r="J303" s="122"/>
      <c r="K303" s="122"/>
      <c r="L303" s="122"/>
      <c r="M303" s="122"/>
      <c r="N303" s="122"/>
      <c r="O303" s="122"/>
      <c r="P303" s="122"/>
      <c r="Q303" s="122"/>
      <c r="R303" s="98"/>
      <c r="S303" s="98"/>
      <c r="T303" s="334">
        <v>0</v>
      </c>
    </row>
    <row r="304" spans="1:21">
      <c r="E304" s="133"/>
      <c r="G304" s="204"/>
      <c r="H304" s="122"/>
      <c r="I304" s="122"/>
      <c r="J304" s="122"/>
      <c r="K304" s="122"/>
      <c r="L304" s="122"/>
      <c r="M304" s="122"/>
      <c r="N304" s="122"/>
      <c r="O304" s="122"/>
      <c r="P304" s="122"/>
      <c r="Q304" s="122"/>
      <c r="R304" s="122"/>
      <c r="S304" s="122"/>
      <c r="T304" s="331"/>
    </row>
    <row r="305" spans="1:20">
      <c r="A305" s="175"/>
      <c r="B305" s="176" t="str">
        <f>+'7B - Schedule 12 Projects'!K8</f>
        <v>Name</v>
      </c>
      <c r="C305" s="133"/>
      <c r="E305" s="133"/>
      <c r="F305" s="204"/>
      <c r="G305" s="204"/>
      <c r="H305" s="122"/>
      <c r="I305" s="122"/>
      <c r="J305" s="122"/>
      <c r="K305" s="122"/>
      <c r="L305" s="122"/>
      <c r="M305" s="122"/>
      <c r="N305" s="122"/>
      <c r="O305" s="122"/>
      <c r="P305" s="122"/>
      <c r="Q305" s="122"/>
      <c r="R305" s="122"/>
      <c r="S305" s="122"/>
      <c r="T305" s="331"/>
    </row>
    <row r="306" spans="1:20">
      <c r="A306" s="175">
        <f>+A303+1</f>
        <v>124</v>
      </c>
      <c r="B306" s="46" t="s">
        <v>595</v>
      </c>
      <c r="C306" s="133"/>
      <c r="E306" s="133" t="s">
        <v>596</v>
      </c>
      <c r="F306" s="204"/>
      <c r="G306" s="333">
        <v>0</v>
      </c>
      <c r="H306" s="328">
        <v>0</v>
      </c>
      <c r="I306" s="328">
        <v>0</v>
      </c>
      <c r="J306" s="328">
        <v>0</v>
      </c>
      <c r="K306" s="328">
        <v>0</v>
      </c>
      <c r="L306" s="328">
        <v>0</v>
      </c>
      <c r="M306" s="328">
        <v>0</v>
      </c>
      <c r="N306" s="328">
        <v>0</v>
      </c>
      <c r="O306" s="328">
        <v>0</v>
      </c>
      <c r="P306" s="328">
        <v>0</v>
      </c>
      <c r="Q306" s="328">
        <v>0</v>
      </c>
      <c r="R306" s="329">
        <v>0</v>
      </c>
      <c r="S306" s="329">
        <v>0</v>
      </c>
      <c r="T306" s="330">
        <f>+SUM(G306:S306)/13</f>
        <v>0</v>
      </c>
    </row>
    <row r="307" spans="1:20">
      <c r="A307" s="175">
        <f>+A306+1</f>
        <v>125</v>
      </c>
      <c r="B307" s="46" t="s">
        <v>31</v>
      </c>
      <c r="C307" s="133"/>
      <c r="E307" s="133">
        <v>219</v>
      </c>
      <c r="F307" s="204"/>
      <c r="G307" s="333">
        <v>0</v>
      </c>
      <c r="H307" s="328">
        <v>0</v>
      </c>
      <c r="I307" s="328">
        <v>0</v>
      </c>
      <c r="J307" s="328">
        <v>0</v>
      </c>
      <c r="K307" s="328">
        <v>0</v>
      </c>
      <c r="L307" s="328">
        <v>0</v>
      </c>
      <c r="M307" s="328">
        <v>0</v>
      </c>
      <c r="N307" s="328">
        <v>0</v>
      </c>
      <c r="O307" s="328">
        <v>0</v>
      </c>
      <c r="P307" s="328">
        <v>0</v>
      </c>
      <c r="Q307" s="328">
        <v>0</v>
      </c>
      <c r="R307" s="329">
        <v>0</v>
      </c>
      <c r="S307" s="329">
        <v>0</v>
      </c>
      <c r="T307" s="330">
        <f t="shared" ref="T307" si="27">+SUM(G307:S307)/13</f>
        <v>0</v>
      </c>
    </row>
    <row r="308" spans="1:20">
      <c r="A308" s="115">
        <f>+A307+1</f>
        <v>126</v>
      </c>
      <c r="B308" s="46" t="s">
        <v>597</v>
      </c>
      <c r="C308" s="133"/>
      <c r="E308" s="133">
        <v>336</v>
      </c>
      <c r="F308" s="204"/>
      <c r="G308" s="204"/>
      <c r="H308" s="122"/>
      <c r="I308" s="122"/>
      <c r="J308" s="122"/>
      <c r="K308" s="122"/>
      <c r="L308" s="122"/>
      <c r="M308" s="122"/>
      <c r="N308" s="122"/>
      <c r="O308" s="122"/>
      <c r="P308" s="122"/>
      <c r="Q308" s="122"/>
      <c r="R308" s="98"/>
      <c r="S308" s="98"/>
      <c r="T308" s="334">
        <v>0</v>
      </c>
    </row>
    <row r="309" spans="1:20">
      <c r="E309" s="133"/>
      <c r="G309" s="204"/>
      <c r="H309" s="122"/>
      <c r="I309" s="122"/>
      <c r="J309" s="122"/>
      <c r="K309" s="122"/>
      <c r="L309" s="122"/>
      <c r="M309" s="122"/>
      <c r="N309" s="122"/>
      <c r="O309" s="122"/>
      <c r="P309" s="122"/>
      <c r="Q309" s="122"/>
      <c r="R309" s="122"/>
      <c r="S309" s="122"/>
      <c r="T309" s="331"/>
    </row>
    <row r="310" spans="1:20">
      <c r="A310" s="175"/>
      <c r="B310" s="176" t="str">
        <f>+'7B - Schedule 12 Projects'!M8</f>
        <v>Name</v>
      </c>
      <c r="C310" s="133"/>
      <c r="E310" s="133"/>
      <c r="F310" s="204"/>
      <c r="G310" s="204"/>
      <c r="H310" s="122"/>
      <c r="I310" s="122"/>
      <c r="J310" s="122"/>
      <c r="K310" s="122"/>
      <c r="L310" s="122"/>
      <c r="M310" s="122"/>
      <c r="N310" s="122"/>
      <c r="O310" s="122"/>
      <c r="P310" s="122"/>
      <c r="Q310" s="122"/>
      <c r="R310" s="122"/>
      <c r="S310" s="122"/>
      <c r="T310" s="331"/>
    </row>
    <row r="311" spans="1:20">
      <c r="A311" s="175">
        <f>+A308+1</f>
        <v>127</v>
      </c>
      <c r="B311" s="46" t="s">
        <v>595</v>
      </c>
      <c r="C311" s="133"/>
      <c r="E311" s="133" t="s">
        <v>596</v>
      </c>
      <c r="F311" s="204"/>
      <c r="G311" s="333">
        <v>0</v>
      </c>
      <c r="H311" s="328">
        <v>0</v>
      </c>
      <c r="I311" s="328">
        <v>0</v>
      </c>
      <c r="J311" s="328">
        <v>0</v>
      </c>
      <c r="K311" s="328">
        <v>0</v>
      </c>
      <c r="L311" s="328">
        <v>0</v>
      </c>
      <c r="M311" s="328">
        <v>0</v>
      </c>
      <c r="N311" s="328">
        <v>0</v>
      </c>
      <c r="O311" s="328">
        <v>0</v>
      </c>
      <c r="P311" s="328">
        <v>0</v>
      </c>
      <c r="Q311" s="328">
        <v>0</v>
      </c>
      <c r="R311" s="329">
        <v>0</v>
      </c>
      <c r="S311" s="329">
        <v>0</v>
      </c>
      <c r="T311" s="330">
        <f>+SUM(G311:S311)/13</f>
        <v>0</v>
      </c>
    </row>
    <row r="312" spans="1:20">
      <c r="A312" s="175">
        <f>+A311+1</f>
        <v>128</v>
      </c>
      <c r="B312" s="46" t="s">
        <v>31</v>
      </c>
      <c r="C312" s="133"/>
      <c r="E312" s="133">
        <v>219</v>
      </c>
      <c r="F312" s="204"/>
      <c r="G312" s="333">
        <v>0</v>
      </c>
      <c r="H312" s="328">
        <v>0</v>
      </c>
      <c r="I312" s="328">
        <v>0</v>
      </c>
      <c r="J312" s="328">
        <v>0</v>
      </c>
      <c r="K312" s="328">
        <v>0</v>
      </c>
      <c r="L312" s="328">
        <v>0</v>
      </c>
      <c r="M312" s="328">
        <v>0</v>
      </c>
      <c r="N312" s="328">
        <v>0</v>
      </c>
      <c r="O312" s="328">
        <v>0</v>
      </c>
      <c r="P312" s="328">
        <v>0</v>
      </c>
      <c r="Q312" s="328">
        <v>0</v>
      </c>
      <c r="R312" s="329">
        <v>0</v>
      </c>
      <c r="S312" s="329">
        <v>0</v>
      </c>
      <c r="T312" s="330">
        <f t="shared" ref="T312" si="28">+SUM(G312:S312)/13</f>
        <v>0</v>
      </c>
    </row>
    <row r="313" spans="1:20">
      <c r="A313" s="115">
        <f>+A312+1</f>
        <v>129</v>
      </c>
      <c r="B313" s="46" t="s">
        <v>597</v>
      </c>
      <c r="C313" s="133"/>
      <c r="E313" s="133">
        <v>336</v>
      </c>
      <c r="F313" s="204"/>
      <c r="G313" s="204"/>
      <c r="H313" s="122"/>
      <c r="I313" s="122"/>
      <c r="J313" s="122"/>
      <c r="K313" s="122"/>
      <c r="L313" s="122"/>
      <c r="M313" s="122"/>
      <c r="N313" s="122"/>
      <c r="O313" s="122"/>
      <c r="P313" s="122"/>
      <c r="Q313" s="122"/>
      <c r="R313" s="98"/>
      <c r="S313" s="98"/>
      <c r="T313" s="334">
        <v>0</v>
      </c>
    </row>
    <row r="314" spans="1:20">
      <c r="C314" s="133"/>
      <c r="E314" s="133"/>
      <c r="F314" s="204"/>
      <c r="G314" s="204"/>
      <c r="H314" s="122"/>
      <c r="I314" s="122"/>
      <c r="J314" s="122"/>
      <c r="K314" s="122"/>
      <c r="L314" s="122"/>
      <c r="M314" s="122"/>
      <c r="N314" s="122"/>
      <c r="O314" s="122"/>
      <c r="P314" s="122"/>
      <c r="Q314" s="122"/>
      <c r="R314" s="98"/>
      <c r="S314" s="98"/>
      <c r="T314" s="330"/>
    </row>
    <row r="315" spans="1:20">
      <c r="A315" s="175"/>
      <c r="B315" s="176" t="str">
        <f>+'7B - Schedule 12 Projects'!O8</f>
        <v>Name</v>
      </c>
      <c r="C315" s="133"/>
      <c r="E315" s="133"/>
      <c r="F315" s="204"/>
      <c r="G315" s="204"/>
      <c r="H315" s="122"/>
      <c r="I315" s="122"/>
      <c r="J315" s="122"/>
      <c r="K315" s="122"/>
      <c r="L315" s="122"/>
      <c r="M315" s="122"/>
      <c r="N315" s="122"/>
      <c r="O315" s="122"/>
      <c r="P315" s="122"/>
      <c r="Q315" s="122"/>
      <c r="R315" s="122"/>
      <c r="S315" s="122"/>
      <c r="T315" s="331"/>
    </row>
    <row r="316" spans="1:20">
      <c r="A316" s="175">
        <f>+A313+1</f>
        <v>130</v>
      </c>
      <c r="B316" s="46" t="s">
        <v>595</v>
      </c>
      <c r="C316" s="133"/>
      <c r="E316" s="133" t="s">
        <v>596</v>
      </c>
      <c r="F316" s="204"/>
      <c r="G316" s="333">
        <v>0</v>
      </c>
      <c r="H316" s="328">
        <v>0</v>
      </c>
      <c r="I316" s="328">
        <v>0</v>
      </c>
      <c r="J316" s="328">
        <v>0</v>
      </c>
      <c r="K316" s="328">
        <v>0</v>
      </c>
      <c r="L316" s="328">
        <v>0</v>
      </c>
      <c r="M316" s="328">
        <v>0</v>
      </c>
      <c r="N316" s="328">
        <v>0</v>
      </c>
      <c r="O316" s="328">
        <v>0</v>
      </c>
      <c r="P316" s="328">
        <v>0</v>
      </c>
      <c r="Q316" s="328">
        <v>0</v>
      </c>
      <c r="R316" s="329">
        <v>0</v>
      </c>
      <c r="S316" s="329">
        <v>0</v>
      </c>
      <c r="T316" s="330">
        <f>+SUM(G316:S316)/13</f>
        <v>0</v>
      </c>
    </row>
    <row r="317" spans="1:20">
      <c r="A317" s="175">
        <f>+A316+1</f>
        <v>131</v>
      </c>
      <c r="B317" s="46" t="s">
        <v>31</v>
      </c>
      <c r="C317" s="133"/>
      <c r="E317" s="133">
        <v>219</v>
      </c>
      <c r="F317" s="204"/>
      <c r="G317" s="333">
        <v>0</v>
      </c>
      <c r="H317" s="328">
        <v>0</v>
      </c>
      <c r="I317" s="328">
        <v>0</v>
      </c>
      <c r="J317" s="328">
        <v>0</v>
      </c>
      <c r="K317" s="328">
        <v>0</v>
      </c>
      <c r="L317" s="328">
        <v>0</v>
      </c>
      <c r="M317" s="328">
        <v>0</v>
      </c>
      <c r="N317" s="328">
        <v>0</v>
      </c>
      <c r="O317" s="328">
        <v>0</v>
      </c>
      <c r="P317" s="328">
        <v>0</v>
      </c>
      <c r="Q317" s="328">
        <v>0</v>
      </c>
      <c r="R317" s="329">
        <v>0</v>
      </c>
      <c r="S317" s="329">
        <v>0</v>
      </c>
      <c r="T317" s="330">
        <f t="shared" ref="T317" si="29">+SUM(G317:S317)/13</f>
        <v>0</v>
      </c>
    </row>
    <row r="318" spans="1:20">
      <c r="A318" s="175">
        <f>+A317+1</f>
        <v>132</v>
      </c>
      <c r="B318" s="46" t="s">
        <v>597</v>
      </c>
      <c r="C318" s="133"/>
      <c r="E318" s="133">
        <v>336</v>
      </c>
      <c r="F318" s="204"/>
      <c r="G318" s="204"/>
      <c r="H318" s="122"/>
      <c r="I318" s="122"/>
      <c r="J318" s="122"/>
      <c r="K318" s="122"/>
      <c r="L318" s="122"/>
      <c r="M318" s="122"/>
      <c r="N318" s="122"/>
      <c r="O318" s="122"/>
      <c r="P318" s="122"/>
      <c r="Q318" s="122"/>
      <c r="R318" s="98"/>
      <c r="S318" s="98"/>
      <c r="T318" s="334">
        <v>0</v>
      </c>
    </row>
    <row r="319" spans="1:20">
      <c r="A319" s="175"/>
      <c r="C319" s="133"/>
      <c r="E319" s="133"/>
      <c r="F319" s="204"/>
      <c r="G319" s="204"/>
      <c r="H319" s="122"/>
      <c r="I319" s="122"/>
      <c r="J319" s="122"/>
      <c r="K319" s="122"/>
      <c r="L319" s="122"/>
      <c r="M319" s="122"/>
      <c r="N319" s="122"/>
      <c r="O319" s="122"/>
      <c r="P319" s="122"/>
      <c r="Q319" s="122"/>
      <c r="R319" s="98"/>
      <c r="S319" s="98"/>
      <c r="T319" s="330"/>
    </row>
    <row r="320" spans="1:20">
      <c r="A320" s="175"/>
      <c r="B320" s="176" t="str">
        <f>+'7B - Schedule 12 Projects'!Q8</f>
        <v>Name</v>
      </c>
      <c r="C320" s="133"/>
      <c r="E320" s="133"/>
      <c r="F320" s="204"/>
      <c r="G320" s="204"/>
      <c r="H320" s="122"/>
      <c r="I320" s="122"/>
      <c r="J320" s="122"/>
      <c r="K320" s="122"/>
      <c r="L320" s="122"/>
      <c r="M320" s="122"/>
      <c r="N320" s="122"/>
      <c r="O320" s="122"/>
      <c r="P320" s="122"/>
      <c r="Q320" s="122"/>
      <c r="R320" s="122"/>
      <c r="S320" s="122"/>
      <c r="T320" s="331"/>
    </row>
    <row r="321" spans="1:20">
      <c r="A321" s="175">
        <f>+A318+1</f>
        <v>133</v>
      </c>
      <c r="B321" s="46" t="s">
        <v>595</v>
      </c>
      <c r="C321" s="133"/>
      <c r="E321" s="133" t="s">
        <v>596</v>
      </c>
      <c r="F321" s="204"/>
      <c r="G321" s="333">
        <v>0</v>
      </c>
      <c r="H321" s="328">
        <v>0</v>
      </c>
      <c r="I321" s="328">
        <v>0</v>
      </c>
      <c r="J321" s="328">
        <v>0</v>
      </c>
      <c r="K321" s="328">
        <v>0</v>
      </c>
      <c r="L321" s="328">
        <v>0</v>
      </c>
      <c r="M321" s="328">
        <v>0</v>
      </c>
      <c r="N321" s="328">
        <v>0</v>
      </c>
      <c r="O321" s="328">
        <v>0</v>
      </c>
      <c r="P321" s="328">
        <v>0</v>
      </c>
      <c r="Q321" s="328">
        <v>0</v>
      </c>
      <c r="R321" s="329">
        <v>0</v>
      </c>
      <c r="S321" s="329">
        <v>0</v>
      </c>
      <c r="T321" s="330">
        <f>+SUM(G321:S321)/13</f>
        <v>0</v>
      </c>
    </row>
    <row r="322" spans="1:20">
      <c r="A322" s="175">
        <f>+A321+1</f>
        <v>134</v>
      </c>
      <c r="B322" s="46" t="s">
        <v>31</v>
      </c>
      <c r="C322" s="133"/>
      <c r="E322" s="133">
        <v>219</v>
      </c>
      <c r="F322" s="204"/>
      <c r="G322" s="333">
        <v>0</v>
      </c>
      <c r="H322" s="328">
        <v>0</v>
      </c>
      <c r="I322" s="328">
        <v>0</v>
      </c>
      <c r="J322" s="328">
        <v>0</v>
      </c>
      <c r="K322" s="328">
        <v>0</v>
      </c>
      <c r="L322" s="328">
        <v>0</v>
      </c>
      <c r="M322" s="328">
        <v>0</v>
      </c>
      <c r="N322" s="328">
        <v>0</v>
      </c>
      <c r="O322" s="328">
        <v>0</v>
      </c>
      <c r="P322" s="328">
        <v>0</v>
      </c>
      <c r="Q322" s="328">
        <v>0</v>
      </c>
      <c r="R322" s="329">
        <v>0</v>
      </c>
      <c r="S322" s="329">
        <v>0</v>
      </c>
      <c r="T322" s="330">
        <f t="shared" ref="T322" si="30">+SUM(G322:S322)/13</f>
        <v>0</v>
      </c>
    </row>
    <row r="323" spans="1:20">
      <c r="A323" s="175">
        <f>+A322+1</f>
        <v>135</v>
      </c>
      <c r="B323" s="46" t="s">
        <v>597</v>
      </c>
      <c r="C323" s="133"/>
      <c r="E323" s="133">
        <v>336</v>
      </c>
      <c r="F323" s="204"/>
      <c r="G323" s="204"/>
      <c r="H323" s="122"/>
      <c r="I323" s="122"/>
      <c r="J323" s="122"/>
      <c r="K323" s="122"/>
      <c r="L323" s="122"/>
      <c r="M323" s="122"/>
      <c r="N323" s="122"/>
      <c r="O323" s="122"/>
      <c r="P323" s="122"/>
      <c r="Q323" s="122"/>
      <c r="R323" s="98"/>
      <c r="S323" s="98"/>
      <c r="T323" s="334">
        <v>0</v>
      </c>
    </row>
    <row r="324" spans="1:20">
      <c r="A324" s="175"/>
      <c r="C324" s="133"/>
      <c r="E324" s="133"/>
      <c r="F324" s="204"/>
      <c r="G324" s="204"/>
      <c r="H324" s="122"/>
      <c r="I324" s="122"/>
      <c r="J324" s="122"/>
      <c r="K324" s="122"/>
      <c r="L324" s="122"/>
      <c r="M324" s="122"/>
      <c r="N324" s="122"/>
      <c r="O324" s="122"/>
      <c r="P324" s="122"/>
      <c r="Q324" s="122"/>
      <c r="R324" s="98"/>
      <c r="S324" s="98"/>
      <c r="T324" s="330"/>
    </row>
    <row r="325" spans="1:20">
      <c r="A325" s="175"/>
      <c r="B325" s="176" t="str">
        <f>+'7B - Schedule 12 Projects'!S8</f>
        <v>Name</v>
      </c>
      <c r="C325" s="133"/>
      <c r="E325" s="133"/>
      <c r="F325" s="204"/>
      <c r="G325" s="204"/>
      <c r="H325" s="122"/>
      <c r="I325" s="122"/>
      <c r="J325" s="122"/>
      <c r="K325" s="122"/>
      <c r="L325" s="122"/>
      <c r="M325" s="122"/>
      <c r="N325" s="122"/>
      <c r="O325" s="122"/>
      <c r="P325" s="122"/>
      <c r="Q325" s="122"/>
      <c r="R325" s="122"/>
      <c r="S325" s="122"/>
      <c r="T325" s="331"/>
    </row>
    <row r="326" spans="1:20">
      <c r="A326" s="175">
        <f>+A323+1</f>
        <v>136</v>
      </c>
      <c r="B326" s="46" t="s">
        <v>595</v>
      </c>
      <c r="C326" s="133"/>
      <c r="E326" s="133" t="s">
        <v>596</v>
      </c>
      <c r="F326" s="204"/>
      <c r="G326" s="333">
        <v>0</v>
      </c>
      <c r="H326" s="328">
        <v>0</v>
      </c>
      <c r="I326" s="328">
        <v>0</v>
      </c>
      <c r="J326" s="328">
        <v>0</v>
      </c>
      <c r="K326" s="328">
        <v>0</v>
      </c>
      <c r="L326" s="328">
        <v>0</v>
      </c>
      <c r="M326" s="328">
        <v>0</v>
      </c>
      <c r="N326" s="328">
        <v>0</v>
      </c>
      <c r="O326" s="328">
        <v>0</v>
      </c>
      <c r="P326" s="328">
        <v>0</v>
      </c>
      <c r="Q326" s="328">
        <v>0</v>
      </c>
      <c r="R326" s="329">
        <v>0</v>
      </c>
      <c r="S326" s="329">
        <v>0</v>
      </c>
      <c r="T326" s="330">
        <f>+SUM(G326:S326)/13</f>
        <v>0</v>
      </c>
    </row>
    <row r="327" spans="1:20">
      <c r="A327" s="175">
        <f>+A326+1</f>
        <v>137</v>
      </c>
      <c r="B327" s="46" t="s">
        <v>31</v>
      </c>
      <c r="C327" s="133"/>
      <c r="E327" s="133">
        <v>219</v>
      </c>
      <c r="F327" s="204"/>
      <c r="G327" s="333">
        <v>0</v>
      </c>
      <c r="H327" s="328">
        <v>0</v>
      </c>
      <c r="I327" s="328">
        <v>0</v>
      </c>
      <c r="J327" s="328">
        <v>0</v>
      </c>
      <c r="K327" s="328">
        <v>0</v>
      </c>
      <c r="L327" s="328">
        <v>0</v>
      </c>
      <c r="M327" s="328">
        <v>0</v>
      </c>
      <c r="N327" s="328">
        <v>0</v>
      </c>
      <c r="O327" s="328">
        <v>0</v>
      </c>
      <c r="P327" s="328">
        <v>0</v>
      </c>
      <c r="Q327" s="328">
        <v>0</v>
      </c>
      <c r="R327" s="329">
        <v>0</v>
      </c>
      <c r="S327" s="329">
        <v>0</v>
      </c>
      <c r="T327" s="330">
        <f t="shared" ref="T327" si="31">+SUM(G327:S327)/13</f>
        <v>0</v>
      </c>
    </row>
    <row r="328" spans="1:20">
      <c r="A328" s="175">
        <f>+A327+1</f>
        <v>138</v>
      </c>
      <c r="B328" s="46" t="s">
        <v>597</v>
      </c>
      <c r="C328" s="133"/>
      <c r="E328" s="133">
        <v>336</v>
      </c>
      <c r="F328" s="204"/>
      <c r="G328" s="204"/>
      <c r="H328" s="122"/>
      <c r="I328" s="122"/>
      <c r="J328" s="122"/>
      <c r="K328" s="122"/>
      <c r="L328" s="122"/>
      <c r="M328" s="122"/>
      <c r="N328" s="122"/>
      <c r="O328" s="122"/>
      <c r="P328" s="122"/>
      <c r="Q328" s="122"/>
      <c r="R328" s="98"/>
      <c r="S328" s="98"/>
      <c r="T328" s="334">
        <v>0</v>
      </c>
    </row>
    <row r="329" spans="1:20">
      <c r="A329" s="175"/>
      <c r="C329" s="133"/>
      <c r="E329" s="133"/>
      <c r="F329" s="204"/>
      <c r="G329" s="204"/>
      <c r="H329" s="122"/>
      <c r="I329" s="122"/>
      <c r="J329" s="122"/>
      <c r="K329" s="122"/>
      <c r="L329" s="122"/>
      <c r="M329" s="122"/>
      <c r="N329" s="122"/>
      <c r="O329" s="122"/>
      <c r="P329" s="122"/>
      <c r="Q329" s="122"/>
      <c r="R329" s="98"/>
      <c r="S329" s="98"/>
      <c r="T329" s="330"/>
    </row>
    <row r="330" spans="1:20">
      <c r="A330" s="175"/>
      <c r="B330" s="176" t="str">
        <f>+'7B - Schedule 12 Projects'!U8</f>
        <v>Name</v>
      </c>
      <c r="C330" s="133"/>
      <c r="E330" s="133"/>
      <c r="F330" s="204"/>
      <c r="G330" s="204"/>
      <c r="H330" s="122"/>
      <c r="I330" s="122"/>
      <c r="J330" s="122"/>
      <c r="K330" s="122"/>
      <c r="L330" s="122"/>
      <c r="M330" s="122"/>
      <c r="N330" s="122"/>
      <c r="O330" s="122"/>
      <c r="P330" s="122"/>
      <c r="Q330" s="122"/>
      <c r="R330" s="122"/>
      <c r="S330" s="122"/>
      <c r="T330" s="331"/>
    </row>
    <row r="331" spans="1:20">
      <c r="A331" s="175">
        <f>+A328+1</f>
        <v>139</v>
      </c>
      <c r="B331" s="46" t="s">
        <v>595</v>
      </c>
      <c r="C331" s="133"/>
      <c r="E331" s="133" t="s">
        <v>596</v>
      </c>
      <c r="F331" s="204"/>
      <c r="G331" s="333">
        <v>0</v>
      </c>
      <c r="H331" s="328">
        <v>0</v>
      </c>
      <c r="I331" s="328">
        <v>0</v>
      </c>
      <c r="J331" s="328">
        <v>0</v>
      </c>
      <c r="K331" s="328">
        <v>0</v>
      </c>
      <c r="L331" s="328">
        <v>0</v>
      </c>
      <c r="M331" s="328">
        <v>0</v>
      </c>
      <c r="N331" s="328">
        <v>0</v>
      </c>
      <c r="O331" s="328">
        <v>0</v>
      </c>
      <c r="P331" s="328">
        <v>0</v>
      </c>
      <c r="Q331" s="328">
        <v>0</v>
      </c>
      <c r="R331" s="329">
        <v>0</v>
      </c>
      <c r="S331" s="329">
        <v>0</v>
      </c>
      <c r="T331" s="330">
        <f>+SUM(G331:S331)/13</f>
        <v>0</v>
      </c>
    </row>
    <row r="332" spans="1:20">
      <c r="A332" s="175">
        <f>+A331+1</f>
        <v>140</v>
      </c>
      <c r="B332" s="46" t="s">
        <v>31</v>
      </c>
      <c r="C332" s="133"/>
      <c r="E332" s="133">
        <v>219</v>
      </c>
      <c r="F332" s="204"/>
      <c r="G332" s="333">
        <v>0</v>
      </c>
      <c r="H332" s="328">
        <v>0</v>
      </c>
      <c r="I332" s="328">
        <v>0</v>
      </c>
      <c r="J332" s="328">
        <v>0</v>
      </c>
      <c r="K332" s="328">
        <v>0</v>
      </c>
      <c r="L332" s="328">
        <v>0</v>
      </c>
      <c r="M332" s="328">
        <v>0</v>
      </c>
      <c r="N332" s="328">
        <v>0</v>
      </c>
      <c r="O332" s="328">
        <v>0</v>
      </c>
      <c r="P332" s="328">
        <v>0</v>
      </c>
      <c r="Q332" s="328">
        <v>0</v>
      </c>
      <c r="R332" s="329">
        <v>0</v>
      </c>
      <c r="S332" s="329">
        <v>0</v>
      </c>
      <c r="T332" s="330">
        <f t="shared" ref="T332" si="32">+SUM(G332:S332)/13</f>
        <v>0</v>
      </c>
    </row>
    <row r="333" spans="1:20">
      <c r="A333" s="175">
        <f>+A332+1</f>
        <v>141</v>
      </c>
      <c r="B333" s="46" t="s">
        <v>597</v>
      </c>
      <c r="C333" s="133"/>
      <c r="E333" s="133">
        <v>336</v>
      </c>
      <c r="F333" s="204"/>
      <c r="G333" s="204"/>
      <c r="H333" s="122"/>
      <c r="I333" s="122"/>
      <c r="J333" s="122"/>
      <c r="K333" s="122"/>
      <c r="L333" s="122"/>
      <c r="M333" s="122"/>
      <c r="N333" s="122"/>
      <c r="O333" s="122"/>
      <c r="P333" s="122"/>
      <c r="Q333" s="122"/>
      <c r="R333" s="98"/>
      <c r="S333" s="98"/>
      <c r="T333" s="334">
        <v>0</v>
      </c>
    </row>
    <row r="334" spans="1:20">
      <c r="A334" s="175"/>
      <c r="C334" s="133"/>
      <c r="E334" s="133"/>
      <c r="F334" s="204"/>
      <c r="G334" s="204"/>
      <c r="H334" s="122"/>
      <c r="I334" s="122"/>
      <c r="J334" s="122"/>
      <c r="K334" s="122"/>
      <c r="L334" s="122"/>
      <c r="M334" s="122"/>
      <c r="N334" s="122"/>
      <c r="O334" s="122"/>
      <c r="P334" s="122"/>
      <c r="Q334" s="122"/>
      <c r="R334" s="98"/>
      <c r="S334" s="98"/>
      <c r="T334" s="330"/>
    </row>
    <row r="335" spans="1:20">
      <c r="A335" s="175"/>
      <c r="B335" s="176" t="str">
        <f>+'7B - Schedule 12 Projects'!W8</f>
        <v>Name</v>
      </c>
      <c r="C335" s="133"/>
      <c r="E335" s="133"/>
      <c r="F335" s="204"/>
      <c r="G335" s="204"/>
      <c r="H335" s="122"/>
      <c r="I335" s="122"/>
      <c r="J335" s="122"/>
      <c r="K335" s="122"/>
      <c r="L335" s="122"/>
      <c r="M335" s="122"/>
      <c r="N335" s="122"/>
      <c r="O335" s="122"/>
      <c r="P335" s="122"/>
      <c r="Q335" s="122"/>
      <c r="R335" s="122"/>
      <c r="S335" s="122"/>
      <c r="T335" s="331"/>
    </row>
    <row r="336" spans="1:20">
      <c r="A336" s="175">
        <f>+A333+1</f>
        <v>142</v>
      </c>
      <c r="B336" s="46" t="s">
        <v>595</v>
      </c>
      <c r="C336" s="133"/>
      <c r="E336" s="133" t="s">
        <v>596</v>
      </c>
      <c r="F336" s="204"/>
      <c r="G336" s="333">
        <v>0</v>
      </c>
      <c r="H336" s="328">
        <v>0</v>
      </c>
      <c r="I336" s="328">
        <v>0</v>
      </c>
      <c r="J336" s="328">
        <v>0</v>
      </c>
      <c r="K336" s="328">
        <v>0</v>
      </c>
      <c r="L336" s="328">
        <v>0</v>
      </c>
      <c r="M336" s="328">
        <v>0</v>
      </c>
      <c r="N336" s="328">
        <v>0</v>
      </c>
      <c r="O336" s="328">
        <v>0</v>
      </c>
      <c r="P336" s="328">
        <v>0</v>
      </c>
      <c r="Q336" s="328">
        <v>0</v>
      </c>
      <c r="R336" s="329">
        <v>0</v>
      </c>
      <c r="S336" s="329">
        <v>0</v>
      </c>
      <c r="T336" s="330">
        <f>+SUM(G336:S336)/13</f>
        <v>0</v>
      </c>
    </row>
    <row r="337" spans="1:20">
      <c r="A337" s="175">
        <f>+A336+1</f>
        <v>143</v>
      </c>
      <c r="B337" s="46" t="s">
        <v>31</v>
      </c>
      <c r="C337" s="133"/>
      <c r="E337" s="133">
        <v>219</v>
      </c>
      <c r="F337" s="204"/>
      <c r="G337" s="333">
        <v>0</v>
      </c>
      <c r="H337" s="328">
        <v>0</v>
      </c>
      <c r="I337" s="328">
        <v>0</v>
      </c>
      <c r="J337" s="328">
        <v>0</v>
      </c>
      <c r="K337" s="328">
        <v>0</v>
      </c>
      <c r="L337" s="328">
        <v>0</v>
      </c>
      <c r="M337" s="328">
        <v>0</v>
      </c>
      <c r="N337" s="328">
        <v>0</v>
      </c>
      <c r="O337" s="328">
        <v>0</v>
      </c>
      <c r="P337" s="328">
        <v>0</v>
      </c>
      <c r="Q337" s="328">
        <v>0</v>
      </c>
      <c r="R337" s="329">
        <v>0</v>
      </c>
      <c r="S337" s="329">
        <v>0</v>
      </c>
      <c r="T337" s="330">
        <f t="shared" ref="T337" si="33">+SUM(G337:S337)/13</f>
        <v>0</v>
      </c>
    </row>
    <row r="338" spans="1:20">
      <c r="A338" s="175">
        <f>+A337+1</f>
        <v>144</v>
      </c>
      <c r="B338" s="46" t="s">
        <v>597</v>
      </c>
      <c r="C338" s="133"/>
      <c r="E338" s="133">
        <v>336</v>
      </c>
      <c r="F338" s="204"/>
      <c r="G338" s="204"/>
      <c r="H338" s="122"/>
      <c r="I338" s="122"/>
      <c r="J338" s="122"/>
      <c r="K338" s="122"/>
      <c r="L338" s="122"/>
      <c r="M338" s="122"/>
      <c r="N338" s="122"/>
      <c r="O338" s="122"/>
      <c r="P338" s="122"/>
      <c r="Q338" s="122"/>
      <c r="R338" s="98"/>
      <c r="S338" s="98"/>
      <c r="T338" s="334">
        <v>0</v>
      </c>
    </row>
    <row r="339" spans="1:20">
      <c r="A339" s="175"/>
      <c r="C339" s="133"/>
      <c r="E339" s="133"/>
      <c r="F339" s="204"/>
      <c r="G339" s="204"/>
      <c r="H339" s="122"/>
      <c r="I339" s="122"/>
      <c r="J339" s="122"/>
      <c r="K339" s="122"/>
      <c r="L339" s="122"/>
      <c r="M339" s="122"/>
      <c r="N339" s="122"/>
      <c r="O339" s="122"/>
      <c r="P339" s="122"/>
      <c r="Q339" s="122"/>
      <c r="R339" s="98"/>
      <c r="S339" s="98"/>
      <c r="T339" s="330"/>
    </row>
    <row r="340" spans="1:20">
      <c r="A340" s="175"/>
      <c r="B340" s="176" t="str">
        <f>+'7B - Schedule 12 Projects'!Y8</f>
        <v>Name</v>
      </c>
      <c r="C340" s="133"/>
      <c r="E340" s="133"/>
      <c r="F340" s="204"/>
      <c r="G340" s="204"/>
      <c r="H340" s="122"/>
      <c r="I340" s="122"/>
      <c r="J340" s="122"/>
      <c r="K340" s="122"/>
      <c r="L340" s="122"/>
      <c r="M340" s="122"/>
      <c r="N340" s="122"/>
      <c r="O340" s="122"/>
      <c r="P340" s="122"/>
      <c r="Q340" s="122"/>
      <c r="R340" s="122"/>
      <c r="S340" s="122"/>
      <c r="T340" s="331"/>
    </row>
    <row r="341" spans="1:20">
      <c r="A341" s="175">
        <f>+A338+1</f>
        <v>145</v>
      </c>
      <c r="B341" s="46" t="s">
        <v>595</v>
      </c>
      <c r="C341" s="133"/>
      <c r="E341" s="133" t="s">
        <v>596</v>
      </c>
      <c r="F341" s="204"/>
      <c r="G341" s="333">
        <v>0</v>
      </c>
      <c r="H341" s="328">
        <v>0</v>
      </c>
      <c r="I341" s="328">
        <v>0</v>
      </c>
      <c r="J341" s="328">
        <v>0</v>
      </c>
      <c r="K341" s="328">
        <v>0</v>
      </c>
      <c r="L341" s="328">
        <v>0</v>
      </c>
      <c r="M341" s="328">
        <v>0</v>
      </c>
      <c r="N341" s="328">
        <v>0</v>
      </c>
      <c r="O341" s="328">
        <v>0</v>
      </c>
      <c r="P341" s="328">
        <v>0</v>
      </c>
      <c r="Q341" s="328">
        <v>0</v>
      </c>
      <c r="R341" s="329">
        <v>0</v>
      </c>
      <c r="S341" s="329">
        <v>0</v>
      </c>
      <c r="T341" s="330">
        <f>+SUM(G341:S341)/13</f>
        <v>0</v>
      </c>
    </row>
    <row r="342" spans="1:20">
      <c r="A342" s="175">
        <f>+A341+1</f>
        <v>146</v>
      </c>
      <c r="B342" s="46" t="s">
        <v>31</v>
      </c>
      <c r="C342" s="133"/>
      <c r="E342" s="133">
        <v>219</v>
      </c>
      <c r="F342" s="204"/>
      <c r="G342" s="333">
        <v>0</v>
      </c>
      <c r="H342" s="328">
        <v>0</v>
      </c>
      <c r="I342" s="328">
        <v>0</v>
      </c>
      <c r="J342" s="328">
        <v>0</v>
      </c>
      <c r="K342" s="328">
        <v>0</v>
      </c>
      <c r="L342" s="328">
        <v>0</v>
      </c>
      <c r="M342" s="328">
        <v>0</v>
      </c>
      <c r="N342" s="328">
        <v>0</v>
      </c>
      <c r="O342" s="328">
        <v>0</v>
      </c>
      <c r="P342" s="328">
        <v>0</v>
      </c>
      <c r="Q342" s="328">
        <v>0</v>
      </c>
      <c r="R342" s="329">
        <v>0</v>
      </c>
      <c r="S342" s="329">
        <v>0</v>
      </c>
      <c r="T342" s="330">
        <f t="shared" ref="T342" si="34">+SUM(G342:S342)/13</f>
        <v>0</v>
      </c>
    </row>
    <row r="343" spans="1:20">
      <c r="A343" s="175">
        <f>+A342+1</f>
        <v>147</v>
      </c>
      <c r="B343" s="46" t="s">
        <v>597</v>
      </c>
      <c r="C343" s="133"/>
      <c r="E343" s="133">
        <v>336</v>
      </c>
      <c r="F343" s="204"/>
      <c r="G343" s="158"/>
      <c r="H343" s="122"/>
      <c r="I343" s="122"/>
      <c r="J343" s="122"/>
      <c r="K343" s="122"/>
      <c r="L343" s="122"/>
      <c r="M343" s="122"/>
      <c r="N343" s="122"/>
      <c r="O343" s="122"/>
      <c r="P343" s="122"/>
      <c r="Q343" s="122"/>
      <c r="R343" s="98"/>
      <c r="S343" s="98"/>
      <c r="T343" s="334">
        <v>0</v>
      </c>
    </row>
    <row r="344" spans="1:20" ht="15" thickBot="1">
      <c r="A344" s="184"/>
      <c r="B344" s="184"/>
      <c r="C344" s="184"/>
      <c r="D344" s="184"/>
      <c r="E344" s="184"/>
      <c r="F344" s="184"/>
      <c r="G344" s="184"/>
      <c r="H344" s="184"/>
      <c r="I344" s="184"/>
      <c r="J344" s="184"/>
      <c r="K344" s="184"/>
      <c r="L344" s="184"/>
      <c r="M344" s="184"/>
      <c r="N344" s="184"/>
      <c r="O344" s="184"/>
      <c r="P344" s="184"/>
      <c r="Q344" s="184"/>
      <c r="R344" s="184"/>
      <c r="S344" s="184"/>
      <c r="T344" s="332"/>
    </row>
  </sheetData>
  <customSheetViews>
    <customSheetView guid="{416404B7-8533-4A12-ABD0-58CFDEB49D80}" scale="75" topLeftCell="I105">
      <selection activeCell="F45" sqref="F45"/>
      <rowBreaks count="1" manualBreakCount="1">
        <brk id="91" max="16383" man="1"/>
      </rowBreaks>
      <pageMargins left="0" right="0" top="0" bottom="0" header="0" footer="0"/>
      <printOptions horizontalCentered="1"/>
      <pageSetup scale="31" fitToHeight="4" orientation="landscape" r:id="rId1"/>
    </customSheetView>
  </customSheetViews>
  <mergeCells count="23">
    <mergeCell ref="H240:S240"/>
    <mergeCell ref="H293:S293"/>
    <mergeCell ref="T223:U223"/>
    <mergeCell ref="H200:S200"/>
    <mergeCell ref="T204:U204"/>
    <mergeCell ref="H207:S207"/>
    <mergeCell ref="T217:U217"/>
    <mergeCell ref="H219:S219"/>
    <mergeCell ref="T62:U62"/>
    <mergeCell ref="T84:U84"/>
    <mergeCell ref="T188:U188"/>
    <mergeCell ref="A1:U1"/>
    <mergeCell ref="T173:U173"/>
    <mergeCell ref="T175:U175"/>
    <mergeCell ref="T180:U180"/>
    <mergeCell ref="T183:U183"/>
    <mergeCell ref="A2:U2"/>
    <mergeCell ref="A3:U3"/>
    <mergeCell ref="H6:S6"/>
    <mergeCell ref="H55:S55"/>
    <mergeCell ref="T81:U81"/>
    <mergeCell ref="T158:U158"/>
    <mergeCell ref="T160:U160"/>
  </mergeCells>
  <phoneticPr fontId="27" type="noConversion"/>
  <printOptions horizontalCentered="1"/>
  <pageMargins left="0.45" right="0.21" top="5.5555555555555601E-3" bottom="1.46" header="0.45" footer="0.3"/>
  <pageSetup scale="26" fitToHeight="4" orientation="landscape" r:id="rId2"/>
  <rowBreaks count="3" manualBreakCount="3">
    <brk id="103" max="21" man="1"/>
    <brk id="205" max="21" man="1"/>
    <brk id="291" max="21" man="1"/>
  </rowBreaks>
  <customProperties>
    <customPr name="_pios_id" r:id="rId3"/>
    <customPr name="EpmWorksheetKeyString_GUID" r:id="rId4"/>
  </customProperties>
  <ignoredErrors>
    <ignoredError sqref="T136:T137" formula="1"/>
    <ignoredError sqref="T9" unlocked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Application xmlns="http://www.sap.com/cof/excel/application">
  <Version>2</Version>
  <Revision>2.7.001.82873</Revision>
</Application>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968F33918A864586453495507E48EC" ma:contentTypeVersion="7" ma:contentTypeDescription="Create a new document." ma:contentTypeScope="" ma:versionID="40e3d187e508be68cd08516ab7c60847">
  <xsd:schema xmlns:xsd="http://www.w3.org/2001/XMLSchema" xmlns:xs="http://www.w3.org/2001/XMLSchema" xmlns:p="http://schemas.microsoft.com/office/2006/metadata/properties" xmlns:ns2="105a3813-a66c-4ab3-a28a-39e52728d7ee" xmlns:ns3="2ebaaeb8-4f79-42c6-8194-1050aaa831e5" targetNamespace="http://schemas.microsoft.com/office/2006/metadata/properties" ma:root="true" ma:fieldsID="4e67d265162219b9eb585481e39e6c63" ns2:_="" ns3:_="">
    <xsd:import namespace="105a3813-a66c-4ab3-a28a-39e52728d7ee"/>
    <xsd:import namespace="2ebaaeb8-4f79-42c6-8194-1050aaa831e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5a3813-a66c-4ab3-a28a-39e52728d7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baaeb8-4f79-42c6-8194-1050aaa831e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B8641-DBD3-4544-8D96-45B8AD3AF0B1}">
  <ds:schemaRefs>
    <ds:schemaRef ds:uri="http://www.sap.com/cof/excel/application"/>
  </ds:schemaRefs>
</ds:datastoreItem>
</file>

<file path=customXml/itemProps2.xml><?xml version="1.0" encoding="utf-8"?>
<ds:datastoreItem xmlns:ds="http://schemas.openxmlformats.org/officeDocument/2006/customXml" ds:itemID="{1B764223-8ACD-4B9C-80D6-F381497FC622}">
  <ds:schemaRefs>
    <ds:schemaRef ds:uri="http://purl.org/dc/dcmitype/"/>
    <ds:schemaRef ds:uri="http://www.w3.org/XML/1998/namespace"/>
    <ds:schemaRef ds:uri="105a3813-a66c-4ab3-a28a-39e52728d7e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F9781E6-F693-4218-A3AC-3707026DE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5a3813-a66c-4ab3-a28a-39e52728d7ee"/>
    <ds:schemaRef ds:uri="2ebaaeb8-4f79-42c6-8194-1050aaa831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0EA9821-6124-429A-A9C4-EB1264D6A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Appendix A</vt:lpstr>
      <vt:lpstr>1A - ADIT</vt:lpstr>
      <vt:lpstr>1B - ADIT Proration</vt:lpstr>
      <vt:lpstr>1C - ADIT Prior Year</vt:lpstr>
      <vt:lpstr>1D - ADIT True-up</vt:lpstr>
      <vt:lpstr>1E - ADIT True-Up Proration</vt:lpstr>
      <vt:lpstr>2 - Other Taxes</vt:lpstr>
      <vt:lpstr>3 - Revenue Credits</vt:lpstr>
      <vt:lpstr>4 - Cost Support</vt:lpstr>
      <vt:lpstr>5 - CWIP in Rate Base</vt:lpstr>
      <vt:lpstr>6A - NITS True-Up </vt:lpstr>
      <vt:lpstr>6B - Schedule 12 True-Up</vt:lpstr>
      <vt:lpstr>7A - Project ROE Adder</vt:lpstr>
      <vt:lpstr>7B - Schedule 12 Projects</vt:lpstr>
      <vt:lpstr>8 - Depreciations Rates</vt:lpstr>
      <vt:lpstr>9 - Excess ADIT</vt:lpstr>
      <vt:lpstr>10 - Misc. Liabilities</vt:lpstr>
      <vt:lpstr>11 - Corrections</vt:lpstr>
      <vt:lpstr>12 - Schedule 1A</vt:lpstr>
      <vt:lpstr>13 - A&amp;G Detail</vt:lpstr>
      <vt:lpstr>'10 - Misc. Liabilities'!Print_Area</vt:lpstr>
      <vt:lpstr>'12 - Schedule 1A'!Print_Area</vt:lpstr>
      <vt:lpstr>'1A - ADIT'!Print_Area</vt:lpstr>
      <vt:lpstr>'1B - ADIT Proration'!Print_Area</vt:lpstr>
      <vt:lpstr>'1C - ADIT Prior Year'!Print_Area</vt:lpstr>
      <vt:lpstr>'1E - ADIT True-Up Proration'!Print_Area</vt:lpstr>
      <vt:lpstr>'2 - Other Taxes'!Print_Area</vt:lpstr>
      <vt:lpstr>'3 - Revenue Credits'!Print_Area</vt:lpstr>
      <vt:lpstr>'4 - Cost Support'!Print_Area</vt:lpstr>
      <vt:lpstr>'6A - NITS True-Up '!Print_Area</vt:lpstr>
      <vt:lpstr>'6B - Schedule 12 True-Up'!Print_Area</vt:lpstr>
      <vt:lpstr>'7A - Project ROE Adder'!Print_Area</vt:lpstr>
      <vt:lpstr>'7B - Schedule 12 Projects'!Print_Area</vt:lpstr>
      <vt:lpstr>'8 - Depreciations Rates'!Print_Area</vt:lpstr>
      <vt:lpstr>'9 - Excess ADIT'!Print_Area</vt:lpstr>
      <vt:lpstr>'Appendix A'!Print_Area</vt:lpstr>
      <vt:lpstr>'4 - Cost Support'!Print_Titles</vt:lpstr>
      <vt:lpstr>'Appendix A'!Print_Titles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Dabydeen, Jeanette I.</dc:creator>
  <cp:lastModifiedBy>Sarah Howdeshelt</cp:lastModifiedBy>
  <cp:revision/>
  <dcterms:created xsi:type="dcterms:W3CDTF">2008-07-07T19:27:29Z</dcterms:created>
  <dcterms:modified xsi:type="dcterms:W3CDTF">2023-09-28T19:50:53Z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{29A31E91-2969-4B87-91D6-CB83CB79ADA2}</vt:lpwstr>
  </property>
  <property fmtid="{D5CDD505-2E9C-101B-9397-08002B2CF9AE}" pid="3" name="ContentTypeId">
    <vt:lpwstr>0x01010080968F33918A864586453495507E48EC</vt:lpwstr>
  </property>
</Properties>
</file>