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dsbres0.dplinc.com\Corp_Data\Bill Calculators\Bill Calculator Guides\April 1, 2024\"/>
    </mc:Choice>
  </mc:AlternateContent>
  <xr:revisionPtr revIDLastSave="0" documentId="13_ncr:1_{BBC24F7B-E12E-4047-850D-4237DA770EFC}" xr6:coauthVersionLast="47" xr6:coauthVersionMax="47" xr10:uidLastSave="{00000000-0000-0000-0000-000000000000}"/>
  <bookViews>
    <workbookView xWindow="-120" yWindow="-120" windowWidth="29040" windowHeight="15840" xr2:uid="{00000000-000D-0000-FFFF-FFFF00000000}"/>
  </bookViews>
  <sheets>
    <sheet name="117" sheetId="1" r:id="rId1"/>
    <sheet name="117 - Net Metering"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7" i="2" l="1"/>
  <c r="C41" i="2"/>
  <c r="C38" i="2"/>
  <c r="C74" i="2"/>
  <c r="D73" i="2" s="1"/>
  <c r="C82" i="2"/>
  <c r="C65" i="2"/>
  <c r="C59" i="2"/>
  <c r="D34" i="2"/>
  <c r="D31" i="2"/>
  <c r="D72" i="1"/>
  <c r="D43" i="2"/>
  <c r="D61" i="2"/>
  <c r="D57" i="1" l="1"/>
  <c r="B19" i="2" l="1"/>
  <c r="D34" i="1"/>
  <c r="D43" i="1"/>
  <c r="D69" i="1"/>
  <c r="B21" i="2"/>
  <c r="D31" i="1"/>
  <c r="B18" i="1"/>
  <c r="D37" i="1"/>
  <c r="D28" i="1"/>
  <c r="D49" i="1"/>
  <c r="D46" i="1"/>
  <c r="D49" i="2" s="1"/>
  <c r="D40" i="1"/>
  <c r="D25" i="1"/>
  <c r="D46" i="2" l="1"/>
  <c r="D52" i="2"/>
  <c r="D40" i="2"/>
  <c r="D89" i="2"/>
  <c r="D95" i="2" s="1"/>
  <c r="D107" i="2" s="1"/>
  <c r="D76" i="2"/>
  <c r="D37" i="2"/>
  <c r="D60" i="1"/>
  <c r="D28" i="2"/>
  <c r="D85" i="1"/>
  <c r="D91" i="1" s="1"/>
  <c r="D22" i="1" s="1"/>
  <c r="D54" i="1"/>
  <c r="D77" i="1"/>
  <c r="D98" i="1"/>
  <c r="D25" i="2" l="1"/>
  <c r="D64" i="2"/>
  <c r="D58" i="2"/>
  <c r="D102" i="2"/>
  <c r="D103" i="1"/>
  <c r="D81" i="2"/>
  <c r="D80" i="1"/>
  <c r="D82" i="1" s="1"/>
  <c r="D84" i="2" l="1"/>
  <c r="D93" i="1"/>
  <c r="D20" i="1" s="1"/>
  <c r="D100" i="1"/>
  <c r="D99" i="1"/>
  <c r="D86" i="2" l="1"/>
  <c r="D103" i="2"/>
  <c r="D104" i="2" l="1"/>
  <c r="D97" i="2"/>
  <c r="D23" i="2" s="1"/>
</calcChain>
</file>

<file path=xl/sharedStrings.xml><?xml version="1.0" encoding="utf-8"?>
<sst xmlns="http://schemas.openxmlformats.org/spreadsheetml/2006/main" count="137" uniqueCount="63">
  <si>
    <t>How to Calculate Your AES Ohio Bill</t>
  </si>
  <si>
    <t>Non-Residential (Rate 117, 127)</t>
  </si>
  <si>
    <t>You will need:</t>
  </si>
  <si>
    <r>
      <t xml:space="preserve">To </t>
    </r>
    <r>
      <rPr>
        <b/>
        <sz val="12"/>
        <color indexed="8"/>
        <rFont val="Arial"/>
        <family val="2"/>
      </rPr>
      <t>verify you are on Rate 117 or Rate 127</t>
    </r>
    <r>
      <rPr>
        <sz val="12"/>
        <color indexed="8"/>
        <rFont val="Arial"/>
        <family val="2"/>
      </rPr>
      <t xml:space="preserve"> - find the section near the middle of your AES Ohio bill labeled “Usage Detail", below which the column titled "Rate"  should read 117 or 127.</t>
    </r>
  </si>
  <si>
    <t>Your monthly kWh Usage and billing demand is to the left of your Rate number on your AES Ohio bill. See example below.</t>
  </si>
  <si>
    <t>To verify that your bill is within a 25 to 35 day billing cycle (also on your AES Ohio bill) - under "Usage Detail" find the column titled "Billing Days".  NOTE:  this rate worksheet will not correctly calculate bills outside of the 25 to 35 day billing cycle. Net Metering customers see second tab for rates.</t>
  </si>
  <si>
    <t>For Rate 117 or Rate 127, you will need to find the total electric usage for the month and the billing demand. For customers on Rate 127, you will need to adjust your kWh less 1%.</t>
  </si>
  <si>
    <t>Input usage below</t>
  </si>
  <si>
    <t xml:space="preserve">kWh Usage:    </t>
  </si>
  <si>
    <t>kW (Demand):</t>
  </si>
  <si>
    <t>Adjusted Demand</t>
  </si>
  <si>
    <t>Total Bill</t>
  </si>
  <si>
    <t>Price - To - Compare</t>
  </si>
  <si>
    <t xml:space="preserve">AES Ohio Delivery Charges: </t>
  </si>
  <si>
    <t xml:space="preserve">Customer Charge (D19):  </t>
  </si>
  <si>
    <t xml:space="preserve">A flat fee per billing period of </t>
  </si>
  <si>
    <t xml:space="preserve">Other Delivery Charges: </t>
  </si>
  <si>
    <t xml:space="preserve">    Regulatory Compliance Rider (D31):</t>
  </si>
  <si>
    <t xml:space="preserve">    Demand Charge (D19):</t>
  </si>
  <si>
    <t>Multiply the kW Demand by</t>
  </si>
  <si>
    <t xml:space="preserve">    Solar Generation Fund Rider(D27):</t>
  </si>
  <si>
    <t>Multiply the Billed kWh 0-833,000 by</t>
  </si>
  <si>
    <t xml:space="preserve">    Universal Service Rider (D28):</t>
  </si>
  <si>
    <t xml:space="preserve">    Energy Efficiency Rider (D38):</t>
  </si>
  <si>
    <t>Multiply the Billed kWh by</t>
  </si>
  <si>
    <t xml:space="preserve">    Legacy Generation Rider (D40):</t>
  </si>
  <si>
    <t xml:space="preserve">    Economic Development Rider (D39):</t>
  </si>
  <si>
    <t xml:space="preserve">    Excise Tax (D33):</t>
  </si>
  <si>
    <t xml:space="preserve">0 – 2,000 kWh multiply by </t>
  </si>
  <si>
    <t xml:space="preserve">2,001 – 15,000 kWh multiply by </t>
  </si>
  <si>
    <t xml:space="preserve">over 15,000 kWh multiply by </t>
  </si>
  <si>
    <t xml:space="preserve">    Infrastructure Investment Rider (D29):</t>
  </si>
  <si>
    <t>% of Base Distribution</t>
  </si>
  <si>
    <t xml:space="preserve">    Proactive Reliability Optimization Rider  (D32):</t>
  </si>
  <si>
    <t xml:space="preserve">    Distribution Investment Rider (D36): </t>
  </si>
  <si>
    <t xml:space="preserve">    Reserved for future use</t>
  </si>
  <si>
    <t xml:space="preserve">     Storm Cost Recovery Rider (D30):</t>
  </si>
  <si>
    <t xml:space="preserve">    Transmission Cost Recovery Rider - Non-bypassable (T8):</t>
  </si>
  <si>
    <t>Multiply the Adjusted Demand by</t>
  </si>
  <si>
    <t xml:space="preserve">0 – 1,500 kWh multiply by </t>
  </si>
  <si>
    <t xml:space="preserve">All kWh over 1,500 multiply by </t>
  </si>
  <si>
    <t xml:space="preserve">    Tax Credit Savings Rider (D41):</t>
  </si>
  <si>
    <t xml:space="preserve">% of Base Distribution </t>
  </si>
  <si>
    <t xml:space="preserve">Other Delivery Charges Total: </t>
  </si>
  <si>
    <t xml:space="preserve">AES Ohio Delivery Total: </t>
  </si>
  <si>
    <t>Supply Charges:</t>
  </si>
  <si>
    <t xml:space="preserve">    Standard Offer Rate (G10):</t>
  </si>
  <si>
    <t xml:space="preserve">1,501 – 125,000 kWh multiply by </t>
  </si>
  <si>
    <t xml:space="preserve">All kWh over 125,000 multiply by </t>
  </si>
  <si>
    <t xml:space="preserve">Supply Total: </t>
  </si>
  <si>
    <t xml:space="preserve">Total Bill: </t>
  </si>
  <si>
    <t>How charges appear on AES Ohio's bill</t>
  </si>
  <si>
    <t>Customer Charge</t>
  </si>
  <si>
    <t>Other Delivery Charges</t>
  </si>
  <si>
    <t xml:space="preserve">Supply Charges: </t>
  </si>
  <si>
    <t>Non-Residential (Rate 117, 127) - Net Metering</t>
  </si>
  <si>
    <t>To verify you are on Rate 117 or Rate 127 - find the section near the middle of your AES Ohio bill labeled “Usage Detail", below which the column titled "Rate"  should read 117 or 127.</t>
  </si>
  <si>
    <t xml:space="preserve">As a Net Metering customer you will enter Actual and Received kWh located on your bill in addition to your kW demand.  For customers on Rate 127, you will need to adjust your Actual kWh less 1% and adjust your Received kWh by adding 1%.  Example: Actual usage 5000 X 99%=4950, Received usage 2000 kWh X101% =2020 </t>
  </si>
  <si>
    <t>To verify that your bill is within a 25 to 35 day billing cycle (also on your AES Ohio bill) - under "Usage Detail" find the column titled "Billing Days".  NOTE:  this rate worksheet will not correctly calculate bills outside of the 25 to 35 day billing cycle.</t>
  </si>
  <si>
    <t xml:space="preserve">kWh Actual:    </t>
  </si>
  <si>
    <t>kWh Received:</t>
  </si>
  <si>
    <t>kWh Net:</t>
  </si>
  <si>
    <t xml:space="preserve">    Storm Cost Recovery Rider (D30):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</si>
</sst>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quot;$&quot;#,##0.00"/>
    <numFmt numFmtId="165" formatCode="0.0000000"/>
    <numFmt numFmtId="166" formatCode="_(&quot;$&quot;* #,##0.0000000_);_(&quot;$&quot;* \(#,##0.0000000\);_(&quot;$&quot;* &quot;-&quot;??_);_(@_)"/>
    <numFmt numFmtId="167" formatCode="#,##0.0;[Red]#,##0.0"/>
    <numFmt numFmtId="168" formatCode="_(&quot;$&quot;* #,##0.000_);_(&quot;$&quot;* \(#,##0.000\);_(&quot;$&quot;* &quot;-&quot;??_);_(@_)"/>
    <numFmt numFmtId="169" formatCode="#,##0;[Red]#,##0"/>
    <numFmt numFmtId="170" formatCode="0.00000%"/>
    <numFmt numFmtId="171" formatCode="0.0000%"/>
  </numFmts>
  <fonts count="17" x14ac:knownFonts="1">
    <font>
      <sz val="11"/>
      <color theme="1"/>
      <name val="Calibri"/>
      <family val="2"/>
      <scheme val="minor"/>
    </font>
    <font>
      <sz val="10"/>
      <name val="Arial"/>
      <family val="2"/>
    </font>
    <font>
      <sz val="10"/>
      <name val="Arial"/>
      <family val="2"/>
    </font>
    <font>
      <sz val="12"/>
      <color indexed="8"/>
      <name val="Arial"/>
      <family val="2"/>
    </font>
    <font>
      <b/>
      <sz val="12"/>
      <color indexed="8"/>
      <name val="Arial"/>
      <family val="2"/>
    </font>
    <font>
      <sz val="12"/>
      <name val="Arial"/>
      <family val="2"/>
    </font>
    <font>
      <b/>
      <sz val="12"/>
      <name val="Arial"/>
      <family val="2"/>
    </font>
    <font>
      <sz val="11"/>
      <color theme="1"/>
      <name val="Calibri"/>
      <family val="2"/>
      <scheme val="minor"/>
    </font>
    <font>
      <sz val="12"/>
      <color theme="1"/>
      <name val="Arial"/>
      <family val="2"/>
    </font>
    <font>
      <sz val="12"/>
      <color theme="1"/>
      <name val="Calibri"/>
      <family val="2"/>
      <scheme val="minor"/>
    </font>
    <font>
      <b/>
      <sz val="12"/>
      <color theme="1"/>
      <name val="Arial"/>
      <family val="2"/>
    </font>
    <font>
      <sz val="12"/>
      <color rgb="FF0070C0"/>
      <name val="Arial"/>
      <family val="2"/>
    </font>
    <font>
      <b/>
      <sz val="12"/>
      <color theme="1"/>
      <name val="Calibri"/>
      <family val="2"/>
      <scheme val="minor"/>
    </font>
    <font>
      <b/>
      <sz val="12"/>
      <color theme="0"/>
      <name val="Arial"/>
      <family val="2"/>
    </font>
    <font>
      <b/>
      <sz val="16"/>
      <color rgb="FF0054A4"/>
      <name val="Arial"/>
      <family val="2"/>
    </font>
    <font>
      <b/>
      <sz val="14"/>
      <color rgb="FF0054A4"/>
      <name val="Arial"/>
      <family val="2"/>
    </font>
    <font>
      <sz val="12"/>
      <color rgb="FFFF0000"/>
      <name val="Arial"/>
      <family val="2"/>
    </font>
  </fonts>
  <fills count="5">
    <fill>
      <patternFill patternType="none"/>
    </fill>
    <fill>
      <patternFill patternType="gray125"/>
    </fill>
    <fill>
      <patternFill patternType="solid">
        <fgColor rgb="FFFFFF00"/>
        <bgColor indexed="64"/>
      </patternFill>
    </fill>
    <fill>
      <patternFill patternType="solid">
        <fgColor rgb="FF61973E"/>
        <bgColor indexed="64"/>
      </patternFill>
    </fill>
    <fill>
      <patternFill patternType="solid">
        <fgColor rgb="FF0054A4"/>
        <bgColor indexed="64"/>
      </patternFill>
    </fill>
  </fills>
  <borders count="35">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ck">
        <color indexed="64"/>
      </left>
      <right/>
      <top/>
      <bottom style="thick">
        <color indexed="64"/>
      </bottom>
      <diagonal/>
    </border>
    <border>
      <left/>
      <right/>
      <top/>
      <bottom style="thick">
        <color indexed="64"/>
      </bottom>
      <diagonal/>
    </border>
    <border>
      <left style="medium">
        <color theme="9"/>
      </left>
      <right style="medium">
        <color theme="9"/>
      </right>
      <top style="medium">
        <color theme="9"/>
      </top>
      <bottom style="medium">
        <color theme="9"/>
      </bottom>
      <diagonal/>
    </border>
    <border>
      <left style="medium">
        <color theme="9"/>
      </left>
      <right style="medium">
        <color theme="9"/>
      </right>
      <top/>
      <bottom style="medium">
        <color theme="9"/>
      </bottom>
      <diagonal/>
    </border>
    <border>
      <left/>
      <right/>
      <top style="thick">
        <color rgb="FF61973E"/>
      </top>
      <bottom/>
      <diagonal/>
    </border>
    <border>
      <left/>
      <right style="thick">
        <color rgb="FF61973E"/>
      </right>
      <top style="thick">
        <color rgb="FF61973E"/>
      </top>
      <bottom/>
      <diagonal/>
    </border>
    <border>
      <left/>
      <right/>
      <top style="medium">
        <color rgb="FF61973E"/>
      </top>
      <bottom/>
      <diagonal/>
    </border>
    <border>
      <left/>
      <right style="thick">
        <color rgb="FF61973E"/>
      </right>
      <top style="medium">
        <color rgb="FF61973E"/>
      </top>
      <bottom/>
      <diagonal/>
    </border>
    <border>
      <left/>
      <right style="thick">
        <color rgb="FF61973E"/>
      </right>
      <top/>
      <bottom/>
      <diagonal/>
    </border>
    <border>
      <left/>
      <right style="thick">
        <color indexed="64"/>
      </right>
      <top style="thick">
        <color rgb="FF61973E"/>
      </top>
      <bottom/>
      <diagonal/>
    </border>
    <border>
      <left style="thick">
        <color rgb="FF0054A4"/>
      </left>
      <right/>
      <top/>
      <bottom/>
      <diagonal/>
    </border>
    <border>
      <left/>
      <right style="thick">
        <color rgb="FF0054A4"/>
      </right>
      <top/>
      <bottom/>
      <diagonal/>
    </border>
    <border>
      <left style="thick">
        <color rgb="FF0054A4"/>
      </left>
      <right/>
      <top/>
      <bottom style="thick">
        <color rgb="FF0054A4"/>
      </bottom>
      <diagonal/>
    </border>
    <border>
      <left/>
      <right/>
      <top/>
      <bottom style="thick">
        <color rgb="FF0054A4"/>
      </bottom>
      <diagonal/>
    </border>
    <border>
      <left/>
      <right style="thick">
        <color rgb="FF0054A4"/>
      </right>
      <top/>
      <bottom style="thick">
        <color rgb="FF0054A4"/>
      </bottom>
      <diagonal/>
    </border>
    <border>
      <left style="thick">
        <color rgb="FF61973E"/>
      </left>
      <right/>
      <top style="thick">
        <color rgb="FF61973E"/>
      </top>
      <bottom/>
      <diagonal/>
    </border>
    <border>
      <left style="thick">
        <color rgb="FF61973E"/>
      </left>
      <right/>
      <top style="medium">
        <color rgb="FF61973E"/>
      </top>
      <bottom/>
      <diagonal/>
    </border>
    <border>
      <left style="thick">
        <color rgb="FF61973E"/>
      </left>
      <right/>
      <top/>
      <bottom/>
      <diagonal/>
    </border>
    <border>
      <left style="thick">
        <color indexed="64"/>
      </left>
      <right/>
      <top style="thick">
        <color rgb="FF61973E"/>
      </top>
      <bottom/>
      <diagonal/>
    </border>
    <border>
      <left style="thick">
        <color rgb="FF0054A4"/>
      </left>
      <right/>
      <top style="thick">
        <color rgb="FF0054A4"/>
      </top>
      <bottom/>
      <diagonal/>
    </border>
    <border>
      <left/>
      <right/>
      <top style="thick">
        <color rgb="FF0054A4"/>
      </top>
      <bottom/>
      <diagonal/>
    </border>
    <border>
      <left/>
      <right style="thick">
        <color rgb="FF0054A4"/>
      </right>
      <top style="thick">
        <color rgb="FF0054A4"/>
      </top>
      <bottom/>
      <diagonal/>
    </border>
  </borders>
  <cellStyleXfs count="11">
    <xf numFmtId="0" fontId="0" fillId="0" borderId="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 fillId="0" borderId="0"/>
    <xf numFmtId="9" fontId="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85">
    <xf numFmtId="0" fontId="0" fillId="0" borderId="0" xfId="0"/>
    <xf numFmtId="0" fontId="8" fillId="0" borderId="0" xfId="0" applyFont="1"/>
    <xf numFmtId="0" fontId="9" fillId="0" borderId="0" xfId="0" applyFont="1"/>
    <xf numFmtId="0" fontId="8" fillId="0" borderId="0" xfId="0" applyFont="1" applyAlignment="1">
      <alignment horizontal="left" wrapText="1"/>
    </xf>
    <xf numFmtId="0" fontId="10" fillId="0" borderId="0" xfId="0" applyFont="1" applyAlignment="1">
      <alignment horizontal="center"/>
    </xf>
    <xf numFmtId="169" fontId="5" fillId="0" borderId="15" xfId="1" applyNumberFormat="1" applyFont="1" applyBorder="1" applyProtection="1">
      <protection locked="0"/>
    </xf>
    <xf numFmtId="167" fontId="5" fillId="0" borderId="15" xfId="1" applyNumberFormat="1" applyFont="1" applyBorder="1" applyProtection="1">
      <protection locked="0"/>
    </xf>
    <xf numFmtId="167" fontId="5" fillId="0" borderId="16" xfId="1" applyNumberFormat="1" applyFont="1" applyBorder="1" applyProtection="1"/>
    <xf numFmtId="167" fontId="11" fillId="0" borderId="0" xfId="1" applyNumberFormat="1" applyFont="1" applyBorder="1" applyProtection="1"/>
    <xf numFmtId="167" fontId="6" fillId="2" borderId="0" xfId="1" applyNumberFormat="1" applyFont="1" applyFill="1" applyBorder="1" applyProtection="1"/>
    <xf numFmtId="0" fontId="8" fillId="2" borderId="0" xfId="0" applyFont="1" applyFill="1"/>
    <xf numFmtId="0" fontId="10" fillId="0" borderId="1" xfId="0" applyFont="1" applyBorder="1"/>
    <xf numFmtId="0" fontId="8" fillId="0" borderId="1" xfId="0" applyFont="1" applyBorder="1"/>
    <xf numFmtId="0" fontId="8" fillId="0" borderId="2" xfId="0" applyFont="1" applyBorder="1"/>
    <xf numFmtId="0" fontId="8" fillId="0" borderId="3" xfId="0" applyFont="1" applyBorder="1"/>
    <xf numFmtId="44" fontId="8" fillId="0" borderId="4" xfId="4" applyFont="1" applyBorder="1"/>
    <xf numFmtId="44" fontId="8" fillId="0" borderId="0" xfId="4" applyFont="1" applyFill="1" applyBorder="1"/>
    <xf numFmtId="44" fontId="8" fillId="0" borderId="5" xfId="4" applyFont="1" applyBorder="1"/>
    <xf numFmtId="164" fontId="8" fillId="0" borderId="5" xfId="0" applyNumberFormat="1" applyFont="1" applyBorder="1"/>
    <xf numFmtId="166" fontId="8" fillId="0" borderId="0" xfId="0" applyNumberFormat="1" applyFont="1"/>
    <xf numFmtId="165" fontId="8" fillId="0" borderId="0" xfId="0" applyNumberFormat="1" applyFont="1"/>
    <xf numFmtId="166" fontId="8" fillId="0" borderId="0" xfId="4" applyNumberFormat="1" applyFont="1" applyFill="1" applyBorder="1"/>
    <xf numFmtId="0" fontId="10" fillId="0" borderId="0" xfId="0" applyFont="1"/>
    <xf numFmtId="0" fontId="10" fillId="0" borderId="6" xfId="0" applyFont="1" applyBorder="1"/>
    <xf numFmtId="0" fontId="8" fillId="0" borderId="6" xfId="0" applyFont="1" applyBorder="1"/>
    <xf numFmtId="44" fontId="10" fillId="0" borderId="7" xfId="4" applyFont="1" applyBorder="1"/>
    <xf numFmtId="44" fontId="8" fillId="0" borderId="0" xfId="4" applyFont="1"/>
    <xf numFmtId="0" fontId="10" fillId="3" borderId="17" xfId="0" applyFont="1" applyFill="1" applyBorder="1"/>
    <xf numFmtId="0" fontId="8" fillId="3" borderId="17" xfId="0" applyFont="1" applyFill="1" applyBorder="1"/>
    <xf numFmtId="44" fontId="8" fillId="3" borderId="18" xfId="4" applyFont="1" applyFill="1" applyBorder="1"/>
    <xf numFmtId="0" fontId="8" fillId="0" borderId="19" xfId="0" applyFont="1" applyBorder="1"/>
    <xf numFmtId="44" fontId="8" fillId="0" borderId="20" xfId="4" applyFont="1" applyBorder="1"/>
    <xf numFmtId="44" fontId="8" fillId="0" borderId="21" xfId="4" applyFont="1" applyBorder="1"/>
    <xf numFmtId="44" fontId="10" fillId="0" borderId="21" xfId="4" applyFont="1" applyBorder="1"/>
    <xf numFmtId="0" fontId="10" fillId="0" borderId="17" xfId="0" applyFont="1" applyBorder="1"/>
    <xf numFmtId="0" fontId="8" fillId="0" borderId="17" xfId="0" applyFont="1" applyBorder="1"/>
    <xf numFmtId="44" fontId="8" fillId="0" borderId="22" xfId="4" applyFont="1" applyBorder="1"/>
    <xf numFmtId="44" fontId="10" fillId="0" borderId="8" xfId="4" applyFont="1" applyBorder="1"/>
    <xf numFmtId="0" fontId="8" fillId="0" borderId="23" xfId="0" applyFont="1" applyBorder="1"/>
    <xf numFmtId="0" fontId="8" fillId="0" borderId="24" xfId="0" applyFont="1" applyBorder="1"/>
    <xf numFmtId="0" fontId="10" fillId="0" borderId="23" xfId="0" applyFont="1" applyBorder="1"/>
    <xf numFmtId="0" fontId="10" fillId="0" borderId="0" xfId="0" applyFont="1" applyAlignment="1">
      <alignment horizontal="left"/>
    </xf>
    <xf numFmtId="0" fontId="8" fillId="0" borderId="23" xfId="0" applyFont="1" applyBorder="1" applyAlignment="1">
      <alignment horizontal="left" indent="7"/>
    </xf>
    <xf numFmtId="44" fontId="8" fillId="0" borderId="24" xfId="4" applyFont="1" applyFill="1" applyBorder="1"/>
    <xf numFmtId="0" fontId="10" fillId="0" borderId="23" xfId="0" applyFont="1" applyBorder="1" applyAlignment="1">
      <alignment horizontal="left" indent="7"/>
    </xf>
    <xf numFmtId="44" fontId="10" fillId="0" borderId="24" xfId="4" applyFont="1" applyFill="1" applyBorder="1"/>
    <xf numFmtId="0" fontId="10" fillId="0" borderId="23" xfId="0" applyFont="1" applyBorder="1" applyAlignment="1">
      <alignment horizontal="left"/>
    </xf>
    <xf numFmtId="0" fontId="10" fillId="0" borderId="25" xfId="0" applyFont="1" applyBorder="1" applyAlignment="1">
      <alignment horizontal="left" indent="7"/>
    </xf>
    <xf numFmtId="0" fontId="8" fillId="0" borderId="26" xfId="0" applyFont="1" applyBorder="1"/>
    <xf numFmtId="44" fontId="10" fillId="0" borderId="27" xfId="4" applyFont="1" applyFill="1" applyBorder="1"/>
    <xf numFmtId="0" fontId="12" fillId="0" borderId="0" xfId="0" applyFont="1"/>
    <xf numFmtId="0" fontId="8" fillId="0" borderId="0" xfId="0" applyFont="1" applyAlignment="1">
      <alignment horizontal="left"/>
    </xf>
    <xf numFmtId="0" fontId="10" fillId="0" borderId="9" xfId="0" applyFont="1" applyBorder="1" applyAlignment="1">
      <alignment horizontal="left"/>
    </xf>
    <xf numFmtId="0" fontId="10" fillId="0" borderId="10" xfId="0" applyFont="1" applyBorder="1" applyAlignment="1">
      <alignment horizontal="left"/>
    </xf>
    <xf numFmtId="0" fontId="8" fillId="0" borderId="11" xfId="0" applyFont="1" applyBorder="1" applyAlignment="1">
      <alignment horizontal="left"/>
    </xf>
    <xf numFmtId="0" fontId="10" fillId="0" borderId="11" xfId="0" applyFont="1" applyBorder="1" applyAlignment="1">
      <alignment horizontal="left"/>
    </xf>
    <xf numFmtId="0" fontId="10" fillId="0" borderId="12" xfId="0" applyFont="1" applyBorder="1" applyAlignment="1">
      <alignment horizontal="left"/>
    </xf>
    <xf numFmtId="0" fontId="13" fillId="3" borderId="28" xfId="0" applyFont="1" applyFill="1" applyBorder="1" applyAlignment="1">
      <alignment horizontal="left"/>
    </xf>
    <xf numFmtId="0" fontId="8" fillId="0" borderId="29" xfId="0" applyFont="1" applyBorder="1" applyAlignment="1">
      <alignment horizontal="left"/>
    </xf>
    <xf numFmtId="0" fontId="8" fillId="0" borderId="30" xfId="0" applyFont="1" applyBorder="1" applyAlignment="1">
      <alignment horizontal="left"/>
    </xf>
    <xf numFmtId="0" fontId="10" fillId="0" borderId="30" xfId="0" applyFont="1" applyBorder="1" applyAlignment="1">
      <alignment horizontal="left"/>
    </xf>
    <xf numFmtId="0" fontId="10" fillId="0" borderId="31" xfId="0" applyFont="1" applyBorder="1" applyAlignment="1">
      <alignment horizontal="left"/>
    </xf>
    <xf numFmtId="0" fontId="10" fillId="0" borderId="13" xfId="0" applyFont="1" applyBorder="1" applyAlignment="1">
      <alignment horizontal="left"/>
    </xf>
    <xf numFmtId="0" fontId="12" fillId="0" borderId="0" xfId="0" applyFont="1" applyAlignment="1">
      <alignment horizontal="left"/>
    </xf>
    <xf numFmtId="0" fontId="9" fillId="0" borderId="0" xfId="0" applyFont="1" applyAlignment="1">
      <alignment horizontal="left"/>
    </xf>
    <xf numFmtId="44" fontId="10" fillId="2" borderId="0" xfId="0" applyNumberFormat="1" applyFont="1" applyFill="1"/>
    <xf numFmtId="168" fontId="10" fillId="2" borderId="0" xfId="0" applyNumberFormat="1" applyFont="1" applyFill="1"/>
    <xf numFmtId="44" fontId="10" fillId="0" borderId="5" xfId="4" applyFont="1" applyBorder="1"/>
    <xf numFmtId="170" fontId="8" fillId="0" borderId="0" xfId="8" applyNumberFormat="1" applyFont="1" applyFill="1" applyBorder="1"/>
    <xf numFmtId="44" fontId="8" fillId="0" borderId="5" xfId="4" applyFont="1" applyFill="1" applyBorder="1"/>
    <xf numFmtId="44" fontId="9" fillId="0" borderId="0" xfId="0" applyNumberFormat="1" applyFont="1"/>
    <xf numFmtId="0" fontId="8" fillId="0" borderId="11" xfId="0" applyFont="1" applyBorder="1"/>
    <xf numFmtId="0" fontId="10" fillId="0" borderId="11" xfId="0" applyFont="1" applyBorder="1"/>
    <xf numFmtId="169" fontId="5" fillId="0" borderId="15" xfId="1" applyNumberFormat="1" applyFont="1" applyBorder="1" applyProtection="1"/>
    <xf numFmtId="44" fontId="8" fillId="0" borderId="0" xfId="0" applyNumberFormat="1" applyFont="1"/>
    <xf numFmtId="171" fontId="8" fillId="0" borderId="0" xfId="8" applyNumberFormat="1" applyFont="1" applyFill="1" applyBorder="1"/>
    <xf numFmtId="164" fontId="8" fillId="0" borderId="0" xfId="8" applyNumberFormat="1" applyFont="1" applyFill="1" applyBorder="1"/>
    <xf numFmtId="0" fontId="10" fillId="0" borderId="14" xfId="0" applyFont="1" applyBorder="1" applyAlignment="1">
      <alignment horizontal="right"/>
    </xf>
    <xf numFmtId="0" fontId="13" fillId="4" borderId="32" xfId="0" applyFont="1" applyFill="1" applyBorder="1" applyAlignment="1">
      <alignment horizontal="center"/>
    </xf>
    <xf numFmtId="0" fontId="13" fillId="4" borderId="33" xfId="0" applyFont="1" applyFill="1" applyBorder="1" applyAlignment="1">
      <alignment horizontal="center"/>
    </xf>
    <xf numFmtId="0" fontId="13" fillId="4" borderId="34" xfId="0" applyFont="1" applyFill="1" applyBorder="1" applyAlignment="1">
      <alignment horizontal="center"/>
    </xf>
    <xf numFmtId="0" fontId="14" fillId="0" borderId="0" xfId="0" applyFont="1" applyAlignment="1">
      <alignment horizontal="center"/>
    </xf>
    <xf numFmtId="0" fontId="15" fillId="0" borderId="0" xfId="0" applyFont="1" applyAlignment="1">
      <alignment horizontal="center"/>
    </xf>
    <xf numFmtId="0" fontId="8" fillId="0" borderId="0" xfId="0" applyFont="1" applyAlignment="1">
      <alignment horizontal="left" wrapText="1"/>
    </xf>
    <xf numFmtId="0" fontId="16" fillId="0" borderId="0" xfId="0" applyFont="1" applyAlignment="1">
      <alignment horizontal="left" vertical="top" wrapText="1"/>
    </xf>
  </cellXfs>
  <cellStyles count="11">
    <cellStyle name="Comma" xfId="1" builtinId="3"/>
    <cellStyle name="Comma 2" xfId="2" xr:uid="{00000000-0005-0000-0000-000001000000}"/>
    <cellStyle name="Comma 3" xfId="3" xr:uid="{00000000-0005-0000-0000-000002000000}"/>
    <cellStyle name="Currency" xfId="4" builtinId="4"/>
    <cellStyle name="Currency 2" xfId="5" xr:uid="{00000000-0005-0000-0000-000004000000}"/>
    <cellStyle name="Currency 3" xfId="6" xr:uid="{00000000-0005-0000-0000-000005000000}"/>
    <cellStyle name="Normal" xfId="0" builtinId="0"/>
    <cellStyle name="Normal 2" xfId="7" xr:uid="{00000000-0005-0000-0000-000007000000}"/>
    <cellStyle name="Percent" xfId="8" builtinId="5"/>
    <cellStyle name="Percent 2" xfId="9" xr:uid="{00000000-0005-0000-0000-000009000000}"/>
    <cellStyle name="Percent 3" xfId="10" xr:uid="{00000000-0005-0000-0000-00000A000000}"/>
  </cellStyles>
  <dxfs count="5">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317500</xdr:colOff>
      <xdr:row>6</xdr:row>
      <xdr:rowOff>0</xdr:rowOff>
    </xdr:from>
    <xdr:to>
      <xdr:col>4</xdr:col>
      <xdr:colOff>371475</xdr:colOff>
      <xdr:row>12</xdr:row>
      <xdr:rowOff>0</xdr:rowOff>
    </xdr:to>
    <xdr:pic>
      <xdr:nvPicPr>
        <xdr:cNvPr id="1153" name="Picture 2">
          <a:extLst>
            <a:ext uri="{FF2B5EF4-FFF2-40B4-BE49-F238E27FC236}">
              <a16:creationId xmlns:a16="http://schemas.microsoft.com/office/drawing/2014/main" id="{9AC5A616-5E6E-B827-F37D-5985E419A4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0" y="1593850"/>
          <a:ext cx="7200900" cy="105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121709</xdr:colOff>
      <xdr:row>7</xdr:row>
      <xdr:rowOff>45178</xdr:rowOff>
    </xdr:from>
    <xdr:to>
      <xdr:col>4</xdr:col>
      <xdr:colOff>161925</xdr:colOff>
      <xdr:row>12</xdr:row>
      <xdr:rowOff>26086</xdr:rowOff>
    </xdr:to>
    <xdr:pic>
      <xdr:nvPicPr>
        <xdr:cNvPr id="2140" name="Picture 2">
          <a:extLst>
            <a:ext uri="{FF2B5EF4-FFF2-40B4-BE49-F238E27FC236}">
              <a16:creationId xmlns:a16="http://schemas.microsoft.com/office/drawing/2014/main" id="{30EB627A-CC6B-16F8-0725-A92B8AD14E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709" y="2479345"/>
          <a:ext cx="7371291" cy="936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6"/>
  <sheetViews>
    <sheetView showGridLines="0" showRowColHeaders="0" tabSelected="1" showRuler="0" view="pageLayout" zoomScaleNormal="100" zoomScaleSheetLayoutView="100" workbookViewId="0">
      <selection activeCell="B16" sqref="B16"/>
    </sheetView>
  </sheetViews>
  <sheetFormatPr defaultColWidth="9.140625" defaultRowHeight="15.75" x14ac:dyDescent="0.25"/>
  <cols>
    <col min="1" max="1" width="36.140625" style="64" customWidth="1"/>
    <col min="2" max="2" width="37.28515625" style="2" customWidth="1"/>
    <col min="3" max="3" width="15.5703125" style="2" customWidth="1"/>
    <col min="4" max="4" width="13.28515625" style="2" customWidth="1"/>
    <col min="5" max="16384" width="9.140625" style="2"/>
  </cols>
  <sheetData>
    <row r="1" spans="1:4" ht="20.25" x14ac:dyDescent="0.3">
      <c r="A1" s="81" t="s">
        <v>0</v>
      </c>
      <c r="B1" s="81"/>
      <c r="C1" s="81"/>
      <c r="D1" s="81"/>
    </row>
    <row r="2" spans="1:4" ht="18" x14ac:dyDescent="0.25">
      <c r="A2" s="82" t="s">
        <v>1</v>
      </c>
      <c r="B2" s="82"/>
      <c r="C2" s="82"/>
      <c r="D2" s="82"/>
    </row>
    <row r="3" spans="1:4" ht="9.75" customHeight="1" x14ac:dyDescent="0.25">
      <c r="A3" s="51"/>
      <c r="B3" s="1"/>
      <c r="C3" s="1"/>
      <c r="D3" s="1"/>
    </row>
    <row r="4" spans="1:4" x14ac:dyDescent="0.25">
      <c r="A4" s="51" t="s">
        <v>2</v>
      </c>
      <c r="B4" s="1"/>
      <c r="C4" s="1"/>
      <c r="D4" s="1"/>
    </row>
    <row r="5" spans="1:4" ht="29.25" customHeight="1" x14ac:dyDescent="0.25">
      <c r="A5" s="83" t="s">
        <v>3</v>
      </c>
      <c r="B5" s="83"/>
      <c r="C5" s="83"/>
      <c r="D5" s="83"/>
    </row>
    <row r="6" spans="1:4" ht="33.75" customHeight="1" x14ac:dyDescent="0.25">
      <c r="A6" s="83" t="s">
        <v>4</v>
      </c>
      <c r="B6" s="83"/>
      <c r="C6" s="83"/>
      <c r="D6" s="83"/>
    </row>
    <row r="7" spans="1:4" ht="15" customHeight="1" x14ac:dyDescent="0.25">
      <c r="A7" s="3"/>
      <c r="B7" s="3"/>
      <c r="C7" s="3"/>
      <c r="D7" s="3"/>
    </row>
    <row r="8" spans="1:4" ht="15" customHeight="1" x14ac:dyDescent="0.25">
      <c r="A8" s="3"/>
      <c r="B8" s="3"/>
      <c r="C8" s="3"/>
      <c r="D8" s="3"/>
    </row>
    <row r="9" spans="1:4" ht="15" customHeight="1" x14ac:dyDescent="0.25">
      <c r="A9" s="3"/>
      <c r="B9" s="3"/>
      <c r="C9" s="3"/>
      <c r="D9" s="3"/>
    </row>
    <row r="10" spans="1:4" ht="15" customHeight="1" x14ac:dyDescent="0.25">
      <c r="A10" s="3"/>
      <c r="B10" s="3"/>
      <c r="C10" s="3"/>
      <c r="D10" s="3"/>
    </row>
    <row r="11" spans="1:4" ht="15" customHeight="1" x14ac:dyDescent="0.25">
      <c r="A11" s="3"/>
      <c r="B11" s="3"/>
      <c r="C11" s="3"/>
      <c r="D11" s="3"/>
    </row>
    <row r="12" spans="1:4" ht="8.25" customHeight="1" x14ac:dyDescent="0.25">
      <c r="A12" s="3"/>
      <c r="B12" s="3"/>
      <c r="C12" s="3"/>
      <c r="D12" s="3"/>
    </row>
    <row r="13" spans="1:4" ht="45" customHeight="1" x14ac:dyDescent="0.25">
      <c r="A13" s="83" t="s">
        <v>5</v>
      </c>
      <c r="B13" s="83"/>
      <c r="C13" s="83"/>
      <c r="D13" s="83"/>
    </row>
    <row r="14" spans="1:4" ht="36" customHeight="1" x14ac:dyDescent="0.25">
      <c r="A14" s="83" t="s">
        <v>6</v>
      </c>
      <c r="B14" s="83"/>
      <c r="C14" s="83"/>
      <c r="D14" s="83"/>
    </row>
    <row r="15" spans="1:4" ht="16.5" thickBot="1" x14ac:dyDescent="0.3">
      <c r="A15" s="51"/>
      <c r="B15" s="4" t="s">
        <v>7</v>
      </c>
      <c r="C15" s="1"/>
      <c r="D15" s="1"/>
    </row>
    <row r="16" spans="1:4" ht="16.5" thickBot="1" x14ac:dyDescent="0.3">
      <c r="A16" s="51" t="s">
        <v>8</v>
      </c>
      <c r="B16" s="5">
        <v>5000</v>
      </c>
      <c r="C16" s="1"/>
      <c r="D16" s="1"/>
    </row>
    <row r="17" spans="1:4" ht="16.5" thickBot="1" x14ac:dyDescent="0.3">
      <c r="A17" s="51" t="s">
        <v>9</v>
      </c>
      <c r="B17" s="6">
        <v>5.5</v>
      </c>
      <c r="C17" s="1"/>
      <c r="D17" s="1"/>
    </row>
    <row r="18" spans="1:4" ht="16.5" thickBot="1" x14ac:dyDescent="0.3">
      <c r="A18" s="51" t="s">
        <v>10</v>
      </c>
      <c r="B18" s="7">
        <f>B17-5</f>
        <v>0.5</v>
      </c>
      <c r="C18" s="1"/>
      <c r="D18" s="1"/>
    </row>
    <row r="19" spans="1:4" x14ac:dyDescent="0.25">
      <c r="A19" s="51"/>
      <c r="B19" s="8"/>
      <c r="C19" s="1"/>
      <c r="D19" s="1"/>
    </row>
    <row r="20" spans="1:4" x14ac:dyDescent="0.25">
      <c r="A20" s="51"/>
      <c r="B20" s="9" t="s">
        <v>11</v>
      </c>
      <c r="C20" s="10"/>
      <c r="D20" s="65">
        <f>D93</f>
        <v>655.92000000000007</v>
      </c>
    </row>
    <row r="21" spans="1:4" x14ac:dyDescent="0.25">
      <c r="A21" s="51"/>
      <c r="B21" s="8"/>
      <c r="C21" s="1"/>
      <c r="D21" s="1"/>
    </row>
    <row r="22" spans="1:4" x14ac:dyDescent="0.25">
      <c r="A22" s="51"/>
      <c r="B22" s="9" t="s">
        <v>12</v>
      </c>
      <c r="C22" s="10"/>
      <c r="D22" s="66">
        <f>D91/B16</f>
        <v>0.108072</v>
      </c>
    </row>
    <row r="23" spans="1:4" ht="16.5" thickBot="1" x14ac:dyDescent="0.3">
      <c r="A23" s="51"/>
      <c r="B23" s="1"/>
      <c r="C23" s="1"/>
      <c r="D23" s="1"/>
    </row>
    <row r="24" spans="1:4" ht="16.5" thickBot="1" x14ac:dyDescent="0.3">
      <c r="A24" s="52" t="s">
        <v>13</v>
      </c>
      <c r="B24" s="11"/>
      <c r="C24" s="12"/>
      <c r="D24" s="13"/>
    </row>
    <row r="25" spans="1:4" x14ac:dyDescent="0.25">
      <c r="A25" s="53" t="s">
        <v>14</v>
      </c>
      <c r="B25" s="14"/>
      <c r="C25" s="14"/>
      <c r="D25" s="15">
        <f>ROUND(C26,2)</f>
        <v>16.68</v>
      </c>
    </row>
    <row r="26" spans="1:4" x14ac:dyDescent="0.25">
      <c r="A26" s="54"/>
      <c r="B26" s="1" t="s">
        <v>15</v>
      </c>
      <c r="C26" s="16">
        <v>16.68</v>
      </c>
      <c r="D26" s="17"/>
    </row>
    <row r="27" spans="1:4" x14ac:dyDescent="0.25">
      <c r="A27" s="55" t="s">
        <v>16</v>
      </c>
      <c r="B27" s="1"/>
      <c r="C27" s="16"/>
      <c r="D27" s="17"/>
    </row>
    <row r="28" spans="1:4" x14ac:dyDescent="0.25">
      <c r="A28" s="54" t="s">
        <v>17</v>
      </c>
      <c r="B28" s="1"/>
      <c r="C28" s="16"/>
      <c r="D28" s="17">
        <f>ROUND(C29,2)</f>
        <v>3.66</v>
      </c>
    </row>
    <row r="29" spans="1:4" x14ac:dyDescent="0.25">
      <c r="A29" s="55"/>
      <c r="B29" s="1" t="s">
        <v>15</v>
      </c>
      <c r="C29" s="16">
        <v>3.66</v>
      </c>
      <c r="D29" s="18"/>
    </row>
    <row r="30" spans="1:4" x14ac:dyDescent="0.25">
      <c r="A30" s="55"/>
      <c r="B30" s="1"/>
      <c r="C30" s="16"/>
      <c r="D30" s="18"/>
    </row>
    <row r="31" spans="1:4" x14ac:dyDescent="0.25">
      <c r="A31" s="54" t="s">
        <v>18</v>
      </c>
      <c r="B31" s="1"/>
      <c r="C31" s="1"/>
      <c r="D31" s="69">
        <f>ROUND(C32*$B$17,2)</f>
        <v>26.8</v>
      </c>
    </row>
    <row r="32" spans="1:4" x14ac:dyDescent="0.25">
      <c r="A32" s="54"/>
      <c r="B32" s="1" t="s">
        <v>19</v>
      </c>
      <c r="C32" s="19">
        <v>4.8722371000000004</v>
      </c>
      <c r="D32" s="18"/>
    </row>
    <row r="33" spans="1:4" x14ac:dyDescent="0.25">
      <c r="A33" s="54"/>
      <c r="B33" s="1"/>
      <c r="C33" s="19"/>
      <c r="D33" s="17"/>
    </row>
    <row r="34" spans="1:4" x14ac:dyDescent="0.25">
      <c r="A34" s="54" t="s">
        <v>20</v>
      </c>
      <c r="B34" s="1"/>
      <c r="C34" s="19"/>
      <c r="D34" s="17">
        <f>ROUND(C35*$B$16,2)</f>
        <v>1.45</v>
      </c>
    </row>
    <row r="35" spans="1:4" x14ac:dyDescent="0.25">
      <c r="A35" s="54"/>
      <c r="B35" s="1" t="s">
        <v>21</v>
      </c>
      <c r="C35" s="19">
        <v>2.9051599999999999E-4</v>
      </c>
      <c r="D35" s="18"/>
    </row>
    <row r="36" spans="1:4" x14ac:dyDescent="0.25">
      <c r="A36" s="54"/>
      <c r="B36" s="1"/>
      <c r="C36" s="19"/>
      <c r="D36" s="18"/>
    </row>
    <row r="37" spans="1:4" x14ac:dyDescent="0.25">
      <c r="A37" s="54" t="s">
        <v>22</v>
      </c>
      <c r="B37" s="1"/>
      <c r="C37" s="20"/>
      <c r="D37" s="17">
        <f>ROUND(C38*$B$16,2)</f>
        <v>7.37</v>
      </c>
    </row>
    <row r="38" spans="1:4" x14ac:dyDescent="0.25">
      <c r="A38" s="54"/>
      <c r="B38" s="1" t="s">
        <v>21</v>
      </c>
      <c r="C38" s="21">
        <v>1.474E-3</v>
      </c>
      <c r="D38" s="18"/>
    </row>
    <row r="39" spans="1:4" x14ac:dyDescent="0.25">
      <c r="A39" s="54"/>
      <c r="B39" s="1"/>
      <c r="C39" s="1"/>
      <c r="D39" s="18"/>
    </row>
    <row r="40" spans="1:4" x14ac:dyDescent="0.25">
      <c r="A40" s="54" t="s">
        <v>23</v>
      </c>
      <c r="B40" s="1"/>
      <c r="C40" s="1"/>
      <c r="D40" s="17">
        <f>ROUND(C41*$B$16,2)</f>
        <v>0</v>
      </c>
    </row>
    <row r="41" spans="1:4" x14ac:dyDescent="0.25">
      <c r="A41" s="54"/>
      <c r="B41" s="1" t="s">
        <v>24</v>
      </c>
      <c r="C41" s="19">
        <v>0</v>
      </c>
      <c r="D41" s="17"/>
    </row>
    <row r="42" spans="1:4" x14ac:dyDescent="0.25">
      <c r="A42" s="54"/>
      <c r="B42" s="1"/>
      <c r="C42" s="19"/>
      <c r="D42" s="17"/>
    </row>
    <row r="43" spans="1:4" x14ac:dyDescent="0.25">
      <c r="A43" s="54" t="s">
        <v>25</v>
      </c>
      <c r="B43" s="1"/>
      <c r="C43" s="19"/>
      <c r="D43" s="17">
        <f>IF(B16&gt;833000,ROUND(833000*C44,2),ROUND(C44*$B$16,2))</f>
        <v>9</v>
      </c>
    </row>
    <row r="44" spans="1:4" x14ac:dyDescent="0.25">
      <c r="A44" s="54"/>
      <c r="B44" s="1" t="s">
        <v>21</v>
      </c>
      <c r="C44" s="19">
        <v>1.8006999999999999E-3</v>
      </c>
      <c r="D44" s="18"/>
    </row>
    <row r="45" spans="1:4" x14ac:dyDescent="0.25">
      <c r="A45" s="54"/>
      <c r="B45" s="1"/>
      <c r="C45" s="19"/>
      <c r="D45" s="18"/>
    </row>
    <row r="46" spans="1:4" x14ac:dyDescent="0.25">
      <c r="A46" s="54" t="s">
        <v>26</v>
      </c>
      <c r="B46" s="1"/>
      <c r="C46" s="1"/>
      <c r="D46" s="17">
        <f>ROUND(C47*$B$16,2)</f>
        <v>0</v>
      </c>
    </row>
    <row r="47" spans="1:4" x14ac:dyDescent="0.25">
      <c r="A47" s="54"/>
      <c r="B47" s="1" t="s">
        <v>24</v>
      </c>
      <c r="C47" s="19">
        <v>0</v>
      </c>
      <c r="D47" s="18"/>
    </row>
    <row r="48" spans="1:4" x14ac:dyDescent="0.25">
      <c r="A48" s="54"/>
      <c r="B48" s="1"/>
      <c r="C48" s="21"/>
      <c r="D48" s="18"/>
    </row>
    <row r="49" spans="1:4" x14ac:dyDescent="0.25">
      <c r="A49" s="54" t="s">
        <v>27</v>
      </c>
      <c r="B49" s="1"/>
      <c r="C49" s="1"/>
      <c r="D49" s="17">
        <f>IF($B$16&lt;2001,ROUND($B$16*C50,2),IF($B$16&gt;15000,ROUND(2000*C50,2)+ROUND(13000*C51,2)+ROUND(($B$16-15000)*C52,2),ROUND(2000*C50,2)+ROUND(($B$16-2000)*C51,2)))</f>
        <v>21.87</v>
      </c>
    </row>
    <row r="50" spans="1:4" x14ac:dyDescent="0.25">
      <c r="A50" s="54"/>
      <c r="B50" s="1" t="s">
        <v>28</v>
      </c>
      <c r="C50" s="19">
        <v>4.6499999999999996E-3</v>
      </c>
      <c r="D50" s="18"/>
    </row>
    <row r="51" spans="1:4" x14ac:dyDescent="0.25">
      <c r="A51" s="54"/>
      <c r="B51" s="1" t="s">
        <v>29</v>
      </c>
      <c r="C51" s="19">
        <v>4.1900000000000001E-3</v>
      </c>
      <c r="D51" s="18"/>
    </row>
    <row r="52" spans="1:4" x14ac:dyDescent="0.25">
      <c r="A52" s="54"/>
      <c r="B52" s="1" t="s">
        <v>30</v>
      </c>
      <c r="C52" s="19">
        <v>3.63E-3</v>
      </c>
      <c r="D52" s="18"/>
    </row>
    <row r="53" spans="1:4" x14ac:dyDescent="0.25">
      <c r="A53" s="54"/>
      <c r="B53" s="1"/>
      <c r="C53" s="19"/>
      <c r="D53" s="18"/>
    </row>
    <row r="54" spans="1:4" x14ac:dyDescent="0.25">
      <c r="A54" s="54" t="s">
        <v>31</v>
      </c>
      <c r="B54" s="1"/>
      <c r="C54" s="19"/>
      <c r="D54" s="18">
        <f>ROUND(C55*(D25+D31),2)</f>
        <v>3.62</v>
      </c>
    </row>
    <row r="55" spans="1:4" x14ac:dyDescent="0.25">
      <c r="A55" s="54"/>
      <c r="B55" s="1" t="s">
        <v>32</v>
      </c>
      <c r="C55" s="75">
        <v>8.3150000000000002E-2</v>
      </c>
      <c r="D55" s="18"/>
    </row>
    <row r="56" spans="1:4" x14ac:dyDescent="0.25">
      <c r="A56" s="55"/>
      <c r="B56" s="1"/>
      <c r="C56" s="68"/>
      <c r="D56" s="18"/>
    </row>
    <row r="57" spans="1:4" x14ac:dyDescent="0.25">
      <c r="A57" s="71" t="s">
        <v>33</v>
      </c>
      <c r="B57" s="1"/>
      <c r="C57" s="76"/>
      <c r="D57" s="18">
        <f>C58</f>
        <v>1.1000000000000001</v>
      </c>
    </row>
    <row r="58" spans="1:4" x14ac:dyDescent="0.25">
      <c r="A58" s="71"/>
      <c r="B58" s="1" t="s">
        <v>15</v>
      </c>
      <c r="C58" s="76">
        <v>1.1000000000000001</v>
      </c>
      <c r="D58" s="18"/>
    </row>
    <row r="59" spans="1:4" x14ac:dyDescent="0.25">
      <c r="A59" s="55"/>
      <c r="B59" s="1"/>
      <c r="C59" s="68"/>
      <c r="D59" s="18"/>
    </row>
    <row r="60" spans="1:4" x14ac:dyDescent="0.25">
      <c r="A60" s="54" t="s">
        <v>34</v>
      </c>
      <c r="B60" s="1"/>
      <c r="C60" s="68"/>
      <c r="D60" s="18">
        <f>ROUND((D25+D31)*C61,2)</f>
        <v>4.5999999999999996</v>
      </c>
    </row>
    <row r="61" spans="1:4" x14ac:dyDescent="0.25">
      <c r="A61" s="55"/>
      <c r="B61" s="1" t="s">
        <v>32</v>
      </c>
      <c r="C61" s="68">
        <v>0.105778</v>
      </c>
      <c r="D61" s="18"/>
    </row>
    <row r="62" spans="1:4" x14ac:dyDescent="0.25">
      <c r="A62" s="55"/>
      <c r="B62" s="22"/>
      <c r="C62" s="1"/>
      <c r="D62" s="18"/>
    </row>
    <row r="63" spans="1:4" x14ac:dyDescent="0.25">
      <c r="A63" s="54" t="s">
        <v>35</v>
      </c>
      <c r="B63" s="1"/>
      <c r="C63" s="1"/>
      <c r="D63" s="18"/>
    </row>
    <row r="64" spans="1:4" x14ac:dyDescent="0.25">
      <c r="A64" s="54"/>
      <c r="B64" s="1"/>
      <c r="C64" s="1"/>
      <c r="D64" s="69"/>
    </row>
    <row r="65" spans="1:7" x14ac:dyDescent="0.25">
      <c r="A65" s="54"/>
      <c r="B65" s="1"/>
      <c r="C65" s="1"/>
      <c r="D65" s="69"/>
    </row>
    <row r="66" spans="1:7" x14ac:dyDescent="0.25">
      <c r="A66" s="54"/>
      <c r="C66" s="1"/>
      <c r="D66" s="69"/>
    </row>
    <row r="67" spans="1:7" x14ac:dyDescent="0.25">
      <c r="A67" s="54"/>
      <c r="B67" s="1"/>
      <c r="C67" s="1"/>
      <c r="D67" s="69"/>
    </row>
    <row r="68" spans="1:7" x14ac:dyDescent="0.25">
      <c r="A68" s="54"/>
      <c r="B68" s="1"/>
      <c r="C68" s="19"/>
      <c r="D68" s="69"/>
    </row>
    <row r="69" spans="1:7" x14ac:dyDescent="0.25">
      <c r="A69" s="71" t="s">
        <v>36</v>
      </c>
      <c r="B69" s="1"/>
      <c r="C69" s="19"/>
      <c r="D69" s="69">
        <f>C70</f>
        <v>6.34</v>
      </c>
    </row>
    <row r="70" spans="1:7" x14ac:dyDescent="0.25">
      <c r="A70" s="72"/>
      <c r="B70" s="1" t="s">
        <v>15</v>
      </c>
      <c r="C70" s="74">
        <v>6.34</v>
      </c>
      <c r="D70" s="69"/>
    </row>
    <row r="71" spans="1:7" x14ac:dyDescent="0.25">
      <c r="A71" s="54"/>
      <c r="B71" s="1"/>
      <c r="C71" s="19"/>
      <c r="D71" s="69"/>
    </row>
    <row r="72" spans="1:7" x14ac:dyDescent="0.25">
      <c r="A72" s="54" t="s">
        <v>37</v>
      </c>
      <c r="B72" s="1"/>
      <c r="C72" s="1"/>
      <c r="D72" s="69">
        <f>IF($B$16&lt;1501,ROUND($B$16*C74,2)+ROUND($B$17*C73,2),IF($B$16&gt;1500,ROUND(1500*C74,2)+ROUND(($B$16-1500)*C75,2)+ROUND(C73*$B$17,2)))</f>
        <v>13.91</v>
      </c>
      <c r="G72" s="70"/>
    </row>
    <row r="73" spans="1:7" x14ac:dyDescent="0.25">
      <c r="A73" s="54"/>
      <c r="B73" s="1" t="s">
        <v>38</v>
      </c>
      <c r="C73" s="19">
        <v>1.8984987960668851</v>
      </c>
      <c r="D73" s="69"/>
      <c r="E73" s="70"/>
      <c r="G73" s="70"/>
    </row>
    <row r="74" spans="1:7" x14ac:dyDescent="0.25">
      <c r="A74" s="54"/>
      <c r="B74" s="1" t="s">
        <v>39</v>
      </c>
      <c r="C74" s="19">
        <v>6.9340000000000005E-4</v>
      </c>
      <c r="D74" s="17"/>
      <c r="E74" s="70"/>
      <c r="G74" s="70"/>
    </row>
    <row r="75" spans="1:7" x14ac:dyDescent="0.25">
      <c r="A75" s="54"/>
      <c r="B75" s="1" t="s">
        <v>40</v>
      </c>
      <c r="C75" s="19">
        <v>6.9340000000000005E-4</v>
      </c>
      <c r="D75" s="17"/>
      <c r="E75" s="70"/>
      <c r="G75" s="70"/>
    </row>
    <row r="76" spans="1:7" x14ac:dyDescent="0.25">
      <c r="A76" s="54"/>
      <c r="B76" s="1"/>
      <c r="C76" s="19"/>
      <c r="D76" s="17"/>
      <c r="G76" s="70"/>
    </row>
    <row r="77" spans="1:7" x14ac:dyDescent="0.25">
      <c r="A77" s="71" t="s">
        <v>41</v>
      </c>
      <c r="B77" s="1"/>
      <c r="C77" s="19"/>
      <c r="D77" s="17">
        <f>ROUND((D25+D31)*C78,2)</f>
        <v>-0.84</v>
      </c>
      <c r="G77" s="70"/>
    </row>
    <row r="78" spans="1:7" x14ac:dyDescent="0.25">
      <c r="A78" s="71"/>
      <c r="B78" s="1" t="s">
        <v>42</v>
      </c>
      <c r="C78" s="68">
        <v>-1.9311999999999999E-2</v>
      </c>
      <c r="D78" s="17"/>
      <c r="G78" s="70"/>
    </row>
    <row r="79" spans="1:7" x14ac:dyDescent="0.25">
      <c r="A79" s="54"/>
      <c r="B79" s="1"/>
      <c r="C79" s="19"/>
      <c r="D79" s="17"/>
    </row>
    <row r="80" spans="1:7" x14ac:dyDescent="0.25">
      <c r="A80" s="55" t="s">
        <v>43</v>
      </c>
      <c r="B80" s="1"/>
      <c r="C80" s="19"/>
      <c r="D80" s="67">
        <f>SUM(D28:D77)</f>
        <v>98.88</v>
      </c>
    </row>
    <row r="81" spans="1:4" x14ac:dyDescent="0.25">
      <c r="A81" s="55"/>
      <c r="B81" s="1"/>
      <c r="C81" s="19"/>
      <c r="D81" s="17"/>
    </row>
    <row r="82" spans="1:4" ht="16.5" thickBot="1" x14ac:dyDescent="0.3">
      <c r="A82" s="56" t="s">
        <v>44</v>
      </c>
      <c r="B82" s="23"/>
      <c r="C82" s="24"/>
      <c r="D82" s="25">
        <f>SUM(D80+D25)</f>
        <v>115.56</v>
      </c>
    </row>
    <row r="83" spans="1:4" ht="16.5" thickBot="1" x14ac:dyDescent="0.3">
      <c r="A83" s="41"/>
      <c r="B83" s="22"/>
      <c r="C83" s="1"/>
      <c r="D83" s="26"/>
    </row>
    <row r="84" spans="1:4" ht="17.25" thickTop="1" thickBot="1" x14ac:dyDescent="0.3">
      <c r="A84" s="57" t="s">
        <v>45</v>
      </c>
      <c r="B84" s="27"/>
      <c r="C84" s="28"/>
      <c r="D84" s="29"/>
    </row>
    <row r="85" spans="1:4" x14ac:dyDescent="0.25">
      <c r="A85" s="58" t="s">
        <v>46</v>
      </c>
      <c r="B85" s="30"/>
      <c r="C85" s="30"/>
      <c r="D85" s="31">
        <f>IF($B$16&lt;1501,ROUND($B$16*C87,2)+ROUND($B$18*C86,2),IF($B$16&gt;125000,ROUND(1500*C87,2)+ROUND(123500*C88,2)+ROUND(($B$16-125000)*C89,2)+ROUND($B$18*C86,2),ROUND(1500*C87,2)+ROUND(($B$16-1500)*C88,2)+ROUND(C86*$B$18,2)))</f>
        <v>540.36</v>
      </c>
    </row>
    <row r="86" spans="1:4" x14ac:dyDescent="0.25">
      <c r="A86" s="59"/>
      <c r="B86" s="1" t="s">
        <v>38</v>
      </c>
      <c r="C86" s="19">
        <v>0</v>
      </c>
      <c r="D86" s="32"/>
    </row>
    <row r="87" spans="1:4" x14ac:dyDescent="0.25">
      <c r="A87" s="60"/>
      <c r="B87" s="1" t="s">
        <v>39</v>
      </c>
      <c r="C87" s="19">
        <v>0.1080709</v>
      </c>
      <c r="D87" s="32"/>
    </row>
    <row r="88" spans="1:4" x14ac:dyDescent="0.25">
      <c r="A88" s="60"/>
      <c r="B88" s="1" t="s">
        <v>47</v>
      </c>
      <c r="C88" s="19">
        <v>0.1080709</v>
      </c>
      <c r="D88" s="32"/>
    </row>
    <row r="89" spans="1:4" x14ac:dyDescent="0.25">
      <c r="A89" s="60"/>
      <c r="B89" s="1" t="s">
        <v>48</v>
      </c>
      <c r="C89" s="19">
        <v>0.1080709</v>
      </c>
      <c r="D89" s="32"/>
    </row>
    <row r="90" spans="1:4" x14ac:dyDescent="0.25">
      <c r="A90" s="60"/>
      <c r="B90" s="22"/>
      <c r="C90" s="1"/>
      <c r="D90" s="32"/>
    </row>
    <row r="91" spans="1:4" ht="16.5" thickBot="1" x14ac:dyDescent="0.3">
      <c r="A91" s="60" t="s">
        <v>49</v>
      </c>
      <c r="B91" s="22"/>
      <c r="C91" s="1"/>
      <c r="D91" s="33">
        <f>SUM(D85)</f>
        <v>540.36</v>
      </c>
    </row>
    <row r="92" spans="1:4" ht="16.5" thickTop="1" x14ac:dyDescent="0.25">
      <c r="A92" s="61"/>
      <c r="B92" s="34"/>
      <c r="C92" s="35"/>
      <c r="D92" s="36"/>
    </row>
    <row r="93" spans="1:4" ht="16.5" thickBot="1" x14ac:dyDescent="0.3">
      <c r="A93" s="62" t="s">
        <v>50</v>
      </c>
      <c r="B93" s="77"/>
      <c r="C93" s="77"/>
      <c r="D93" s="37">
        <f>D91+D82</f>
        <v>655.92000000000007</v>
      </c>
    </row>
    <row r="94" spans="1:4" ht="17.25" thickTop="1" thickBot="1" x14ac:dyDescent="0.3">
      <c r="A94" s="51"/>
      <c r="B94" s="1"/>
      <c r="C94" s="1"/>
      <c r="D94" s="1"/>
    </row>
    <row r="95" spans="1:4" ht="16.5" thickTop="1" x14ac:dyDescent="0.25">
      <c r="A95" s="41"/>
      <c r="B95" s="78" t="s">
        <v>51</v>
      </c>
      <c r="C95" s="79"/>
      <c r="D95" s="80"/>
    </row>
    <row r="96" spans="1:4" x14ac:dyDescent="0.25">
      <c r="A96" s="51"/>
      <c r="B96" s="38"/>
      <c r="C96" s="1"/>
      <c r="D96" s="39"/>
    </row>
    <row r="97" spans="1:4" x14ac:dyDescent="0.25">
      <c r="A97" s="51"/>
      <c r="B97" s="40" t="s">
        <v>13</v>
      </c>
      <c r="C97" s="41"/>
      <c r="D97" s="39"/>
    </row>
    <row r="98" spans="1:4" x14ac:dyDescent="0.25">
      <c r="A98" s="51"/>
      <c r="B98" s="42" t="s">
        <v>52</v>
      </c>
      <c r="C98" s="1"/>
      <c r="D98" s="43">
        <f>D25</f>
        <v>16.68</v>
      </c>
    </row>
    <row r="99" spans="1:4" x14ac:dyDescent="0.25">
      <c r="A99" s="51"/>
      <c r="B99" s="42" t="s">
        <v>53</v>
      </c>
      <c r="C99" s="1"/>
      <c r="D99" s="43">
        <f>D80</f>
        <v>98.88</v>
      </c>
    </row>
    <row r="100" spans="1:4" x14ac:dyDescent="0.25">
      <c r="A100" s="51"/>
      <c r="B100" s="44" t="s">
        <v>44</v>
      </c>
      <c r="C100" s="1"/>
      <c r="D100" s="45">
        <f>D82</f>
        <v>115.56</v>
      </c>
    </row>
    <row r="101" spans="1:4" x14ac:dyDescent="0.25">
      <c r="A101" s="51"/>
      <c r="B101" s="42"/>
      <c r="C101" s="1"/>
      <c r="D101" s="43"/>
    </row>
    <row r="102" spans="1:4" x14ac:dyDescent="0.25">
      <c r="A102" s="51"/>
      <c r="B102" s="46" t="s">
        <v>54</v>
      </c>
      <c r="C102" s="1"/>
      <c r="D102" s="39"/>
    </row>
    <row r="103" spans="1:4" ht="16.5" thickBot="1" x14ac:dyDescent="0.3">
      <c r="A103" s="41"/>
      <c r="B103" s="47" t="s">
        <v>49</v>
      </c>
      <c r="C103" s="48"/>
      <c r="D103" s="49">
        <f>D91</f>
        <v>540.36</v>
      </c>
    </row>
    <row r="104" spans="1:4" ht="16.5" thickTop="1" x14ac:dyDescent="0.25">
      <c r="A104" s="41"/>
      <c r="B104" s="1"/>
      <c r="C104" s="1"/>
      <c r="D104" s="1"/>
    </row>
    <row r="105" spans="1:4" x14ac:dyDescent="0.25">
      <c r="A105" s="51"/>
      <c r="B105" s="1"/>
      <c r="C105" s="1"/>
      <c r="D105" s="1"/>
    </row>
    <row r="106" spans="1:4" x14ac:dyDescent="0.25">
      <c r="A106" s="63"/>
      <c r="B106" s="50"/>
    </row>
  </sheetData>
  <sheetProtection algorithmName="SHA-512" hashValue="bm33iKUbFOH0j0DGhOWtgp3hidIT5ZQdJDNRtaQ4bKo/Gs8HfphYaJ7g7OPMzu4zaG6oVFl4E/9OYze2qtkE1g==" saltValue="Y+epVl3cFtPIdvxIMcG4pw==" spinCount="100000" sheet="1" selectLockedCells="1"/>
  <mergeCells count="8">
    <mergeCell ref="B93:C93"/>
    <mergeCell ref="B95:D95"/>
    <mergeCell ref="A1:D1"/>
    <mergeCell ref="A2:D2"/>
    <mergeCell ref="A5:D5"/>
    <mergeCell ref="A6:D6"/>
    <mergeCell ref="A13:D13"/>
    <mergeCell ref="A14:D14"/>
  </mergeCells>
  <conditionalFormatting sqref="C1:D94">
    <cfRule type="cellIs" dxfId="4" priority="1" operator="lessThan">
      <formula>0</formula>
    </cfRule>
  </conditionalFormatting>
  <conditionalFormatting sqref="C96:D65537">
    <cfRule type="cellIs" dxfId="3" priority="3" operator="lessThan">
      <formula>0</formula>
    </cfRule>
  </conditionalFormatting>
  <dataValidations count="1">
    <dataValidation type="decimal" errorStyle="information" allowBlank="1" showInputMessage="1" showErrorMessage="1" errorTitle="Invalid Entry" error="This cell must contain a positive number." sqref="B16:B18" xr:uid="{00000000-0002-0000-0000-000000000000}">
      <formula1>0</formula1>
      <formula2>100000000</formula2>
    </dataValidation>
  </dataValidations>
  <printOptions horizontalCentered="1"/>
  <pageMargins left="0.7" right="0.7" top="0.75" bottom="0.75" header="0.3" footer="0.3"/>
  <pageSetup scale="75" orientation="portrait" r:id="rId1"/>
  <headerFooter>
    <oddHeader>&amp;L&amp;G&amp;R&amp;"Arial,Regular"   Effective April 1, 2024</oddHeader>
    <oddFooter>&amp;L&amp;"Arial,Regular"Worksheet valid for calculating bills starting on April 1, 2024.  This billing worksheet does not take into account the maximum billing charges for this rate structure.</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09"/>
  <sheetViews>
    <sheetView showGridLines="0" showRowColHeaders="0" showRuler="0" view="pageLayout" zoomScale="90" zoomScaleNormal="100" zoomScaleSheetLayoutView="100" zoomScalePageLayoutView="90" workbookViewId="0">
      <selection activeCell="B17" sqref="B17"/>
    </sheetView>
  </sheetViews>
  <sheetFormatPr defaultColWidth="9.140625" defaultRowHeight="15.75" x14ac:dyDescent="0.25"/>
  <cols>
    <col min="1" max="1" width="36.140625" style="64" customWidth="1"/>
    <col min="2" max="2" width="37.28515625" style="2" customWidth="1"/>
    <col min="3" max="3" width="15.5703125" style="2" customWidth="1"/>
    <col min="4" max="4" width="13.42578125" style="2" bestFit="1" customWidth="1"/>
    <col min="5" max="16384" width="9.140625" style="2"/>
  </cols>
  <sheetData>
    <row r="1" spans="1:4" ht="20.25" x14ac:dyDescent="0.3">
      <c r="A1" s="81" t="s">
        <v>0</v>
      </c>
      <c r="B1" s="81"/>
      <c r="C1" s="81"/>
      <c r="D1" s="81"/>
    </row>
    <row r="2" spans="1:4" ht="18" x14ac:dyDescent="0.25">
      <c r="A2" s="82" t="s">
        <v>55</v>
      </c>
      <c r="B2" s="82"/>
      <c r="C2" s="82"/>
      <c r="D2" s="82"/>
    </row>
    <row r="3" spans="1:4" ht="9.75" customHeight="1" x14ac:dyDescent="0.25">
      <c r="A3" s="51"/>
      <c r="B3" s="1"/>
      <c r="C3" s="1"/>
      <c r="D3" s="1"/>
    </row>
    <row r="4" spans="1:4" x14ac:dyDescent="0.25">
      <c r="A4" s="51" t="s">
        <v>2</v>
      </c>
      <c r="B4" s="1"/>
      <c r="C4" s="1"/>
      <c r="D4" s="1"/>
    </row>
    <row r="5" spans="1:4" ht="29.25" customHeight="1" x14ac:dyDescent="0.25">
      <c r="A5" s="83" t="s">
        <v>56</v>
      </c>
      <c r="B5" s="83"/>
      <c r="C5" s="83"/>
      <c r="D5" s="83"/>
    </row>
    <row r="6" spans="1:4" ht="33.75" customHeight="1" x14ac:dyDescent="0.25">
      <c r="A6" s="83" t="s">
        <v>4</v>
      </c>
      <c r="B6" s="83"/>
      <c r="C6" s="83"/>
      <c r="D6" s="83"/>
    </row>
    <row r="7" spans="1:4" ht="63.75" customHeight="1" x14ac:dyDescent="0.25">
      <c r="A7" s="84" t="s">
        <v>57</v>
      </c>
      <c r="B7" s="84"/>
      <c r="C7" s="84"/>
      <c r="D7" s="84"/>
    </row>
    <row r="8" spans="1:4" ht="15" customHeight="1" x14ac:dyDescent="0.25">
      <c r="A8" s="3"/>
      <c r="B8" s="3"/>
      <c r="C8" s="3"/>
      <c r="D8" s="3"/>
    </row>
    <row r="9" spans="1:4" ht="15" customHeight="1" x14ac:dyDescent="0.25">
      <c r="A9" s="3"/>
      <c r="B9" s="3"/>
      <c r="C9" s="3"/>
      <c r="D9" s="3"/>
    </row>
    <row r="10" spans="1:4" ht="15" customHeight="1" x14ac:dyDescent="0.25">
      <c r="A10" s="3"/>
      <c r="B10" s="3"/>
      <c r="C10" s="3"/>
      <c r="D10" s="3"/>
    </row>
    <row r="11" spans="1:4" ht="15" customHeight="1" x14ac:dyDescent="0.25">
      <c r="A11" s="3"/>
      <c r="B11" s="3"/>
      <c r="C11" s="3"/>
      <c r="D11" s="3"/>
    </row>
    <row r="12" spans="1:4" ht="15" customHeight="1" x14ac:dyDescent="0.25">
      <c r="A12" s="3"/>
      <c r="B12" s="3"/>
      <c r="C12" s="3"/>
      <c r="D12" s="3"/>
    </row>
    <row r="13" spans="1:4" ht="8.25" customHeight="1" x14ac:dyDescent="0.25">
      <c r="A13" s="3"/>
      <c r="B13" s="3"/>
      <c r="C13" s="3"/>
      <c r="D13" s="3"/>
    </row>
    <row r="14" spans="1:4" ht="45" customHeight="1" x14ac:dyDescent="0.25">
      <c r="A14" s="83" t="s">
        <v>58</v>
      </c>
      <c r="B14" s="83"/>
      <c r="C14" s="83"/>
      <c r="D14" s="83"/>
    </row>
    <row r="15" spans="1:4" ht="36" customHeight="1" x14ac:dyDescent="0.25">
      <c r="A15" s="83" t="s">
        <v>6</v>
      </c>
      <c r="B15" s="83"/>
      <c r="C15" s="83"/>
      <c r="D15" s="83"/>
    </row>
    <row r="16" spans="1:4" ht="16.5" thickBot="1" x14ac:dyDescent="0.3">
      <c r="A16" s="51"/>
      <c r="B16" s="4" t="s">
        <v>7</v>
      </c>
      <c r="C16" s="1"/>
      <c r="D16" s="1"/>
    </row>
    <row r="17" spans="1:4" ht="16.5" thickBot="1" x14ac:dyDescent="0.3">
      <c r="A17" s="51" t="s">
        <v>59</v>
      </c>
      <c r="B17" s="5">
        <v>5000</v>
      </c>
      <c r="C17" s="1"/>
      <c r="D17" s="1"/>
    </row>
    <row r="18" spans="1:4" ht="16.5" thickBot="1" x14ac:dyDescent="0.3">
      <c r="A18" s="51" t="s">
        <v>60</v>
      </c>
      <c r="B18" s="5"/>
      <c r="C18" s="1"/>
    </row>
    <row r="19" spans="1:4" ht="16.5" thickBot="1" x14ac:dyDescent="0.3">
      <c r="A19" s="51" t="s">
        <v>61</v>
      </c>
      <c r="B19" s="73">
        <f>B17-B18</f>
        <v>5000</v>
      </c>
      <c r="C19" s="1"/>
    </row>
    <row r="20" spans="1:4" ht="16.5" thickBot="1" x14ac:dyDescent="0.3">
      <c r="A20" s="51" t="s">
        <v>9</v>
      </c>
      <c r="B20" s="6">
        <v>5.5</v>
      </c>
      <c r="C20" s="1"/>
      <c r="D20" s="1"/>
    </row>
    <row r="21" spans="1:4" ht="16.5" thickBot="1" x14ac:dyDescent="0.3">
      <c r="A21" s="51" t="s">
        <v>10</v>
      </c>
      <c r="B21" s="7">
        <f>IF(B20&gt;5,B20-5,0)</f>
        <v>0.5</v>
      </c>
      <c r="C21" s="1"/>
      <c r="D21" s="1"/>
    </row>
    <row r="22" spans="1:4" x14ac:dyDescent="0.25">
      <c r="A22" s="51"/>
      <c r="B22" s="8"/>
      <c r="C22" s="1"/>
      <c r="D22" s="1"/>
    </row>
    <row r="23" spans="1:4" x14ac:dyDescent="0.25">
      <c r="A23" s="51"/>
      <c r="B23" s="9" t="s">
        <v>11</v>
      </c>
      <c r="C23" s="10"/>
      <c r="D23" s="65">
        <f>D97</f>
        <v>655.92000000000007</v>
      </c>
    </row>
    <row r="24" spans="1:4" x14ac:dyDescent="0.25">
      <c r="A24" s="51"/>
      <c r="B24" s="8"/>
      <c r="C24" s="1"/>
      <c r="D24" s="1"/>
    </row>
    <row r="25" spans="1:4" x14ac:dyDescent="0.25">
      <c r="A25" s="51"/>
      <c r="B25" s="9" t="s">
        <v>12</v>
      </c>
      <c r="C25" s="10"/>
      <c r="D25" s="66">
        <f>IF($B$19&lt;0,-(D95/$B$19),D95/$B$19)</f>
        <v>0.108072</v>
      </c>
    </row>
    <row r="26" spans="1:4" ht="16.5" thickBot="1" x14ac:dyDescent="0.3">
      <c r="A26" s="51"/>
      <c r="B26" s="1"/>
      <c r="C26" s="1"/>
      <c r="D26" s="1"/>
    </row>
    <row r="27" spans="1:4" ht="16.5" thickBot="1" x14ac:dyDescent="0.3">
      <c r="A27" s="52" t="s">
        <v>13</v>
      </c>
      <c r="B27" s="11"/>
      <c r="C27" s="12"/>
      <c r="D27" s="13"/>
    </row>
    <row r="28" spans="1:4" x14ac:dyDescent="0.25">
      <c r="A28" s="53" t="s">
        <v>14</v>
      </c>
      <c r="B28" s="14"/>
      <c r="C28" s="14"/>
      <c r="D28" s="15">
        <f>'117'!D25</f>
        <v>16.68</v>
      </c>
    </row>
    <row r="29" spans="1:4" x14ac:dyDescent="0.25">
      <c r="A29" s="54"/>
      <c r="B29" s="1" t="s">
        <v>15</v>
      </c>
      <c r="C29" s="16">
        <v>16.68</v>
      </c>
      <c r="D29" s="17"/>
    </row>
    <row r="30" spans="1:4" x14ac:dyDescent="0.25">
      <c r="A30" s="55" t="s">
        <v>16</v>
      </c>
      <c r="B30" s="1"/>
      <c r="C30" s="16"/>
      <c r="D30" s="17"/>
    </row>
    <row r="31" spans="1:4" x14ac:dyDescent="0.25">
      <c r="A31" s="54" t="s">
        <v>17</v>
      </c>
      <c r="B31" s="1"/>
      <c r="C31" s="16"/>
      <c r="D31" s="17">
        <f>'117'!D28</f>
        <v>3.66</v>
      </c>
    </row>
    <row r="32" spans="1:4" x14ac:dyDescent="0.25">
      <c r="A32" s="55"/>
      <c r="B32" s="1" t="s">
        <v>32</v>
      </c>
      <c r="C32" s="16">
        <v>3.66</v>
      </c>
      <c r="D32" s="18"/>
    </row>
    <row r="33" spans="1:4" x14ac:dyDescent="0.25">
      <c r="A33" s="55"/>
      <c r="B33" s="1"/>
      <c r="C33" s="16"/>
      <c r="D33" s="18"/>
    </row>
    <row r="34" spans="1:4" x14ac:dyDescent="0.25">
      <c r="A34" s="54" t="s">
        <v>18</v>
      </c>
      <c r="B34" s="1"/>
      <c r="C34" s="1"/>
      <c r="D34" s="69">
        <f>'117'!D31</f>
        <v>26.8</v>
      </c>
    </row>
    <row r="35" spans="1:4" x14ac:dyDescent="0.25">
      <c r="A35" s="54"/>
      <c r="B35" s="1" t="s">
        <v>19</v>
      </c>
      <c r="C35" s="19">
        <v>4.8722371000000004</v>
      </c>
      <c r="D35" s="18"/>
    </row>
    <row r="36" spans="1:4" x14ac:dyDescent="0.25">
      <c r="A36" s="54"/>
      <c r="B36" s="1"/>
      <c r="C36" s="19"/>
      <c r="D36" s="17"/>
    </row>
    <row r="37" spans="1:4" x14ac:dyDescent="0.25">
      <c r="A37" s="54" t="s">
        <v>20</v>
      </c>
      <c r="B37" s="1"/>
      <c r="C37" s="19"/>
      <c r="D37" s="17">
        <f>IF($B$19&lt;0,0,ROUND(C38*$B$19,2))</f>
        <v>1.45</v>
      </c>
    </row>
    <row r="38" spans="1:4" x14ac:dyDescent="0.25">
      <c r="A38" s="54"/>
      <c r="B38" s="1" t="s">
        <v>21</v>
      </c>
      <c r="C38" s="19">
        <f>'117'!C35</f>
        <v>2.9051599999999999E-4</v>
      </c>
      <c r="D38" s="18"/>
    </row>
    <row r="39" spans="1:4" x14ac:dyDescent="0.25">
      <c r="A39" s="54"/>
      <c r="B39" s="1"/>
      <c r="C39" s="19"/>
      <c r="D39" s="18"/>
    </row>
    <row r="40" spans="1:4" x14ac:dyDescent="0.25">
      <c r="A40" s="54" t="s">
        <v>22</v>
      </c>
      <c r="B40" s="1"/>
      <c r="C40" s="20"/>
      <c r="D40" s="17">
        <f>IF($B$19&lt;0,0,ROUND(C41*$B$19,2))</f>
        <v>7.37</v>
      </c>
    </row>
    <row r="41" spans="1:4" x14ac:dyDescent="0.25">
      <c r="A41" s="54"/>
      <c r="B41" s="1" t="s">
        <v>21</v>
      </c>
      <c r="C41" s="21">
        <f>'117'!C38</f>
        <v>1.474E-3</v>
      </c>
      <c r="D41" s="18"/>
    </row>
    <row r="42" spans="1:4" x14ac:dyDescent="0.25">
      <c r="A42" s="54"/>
      <c r="B42" s="1"/>
      <c r="C42" s="1"/>
      <c r="D42" s="18"/>
    </row>
    <row r="43" spans="1:4" x14ac:dyDescent="0.25">
      <c r="A43" s="54" t="s">
        <v>23</v>
      </c>
      <c r="B43" s="1"/>
      <c r="C43" s="1"/>
      <c r="D43" s="17">
        <f>C44</f>
        <v>0</v>
      </c>
    </row>
    <row r="44" spans="1:4" x14ac:dyDescent="0.25">
      <c r="A44" s="54"/>
      <c r="B44" s="1" t="s">
        <v>24</v>
      </c>
      <c r="C44" s="19">
        <v>0</v>
      </c>
      <c r="D44" s="17"/>
    </row>
    <row r="45" spans="1:4" x14ac:dyDescent="0.25">
      <c r="A45" s="54"/>
      <c r="B45" s="1"/>
      <c r="C45" s="19"/>
      <c r="D45" s="17"/>
    </row>
    <row r="46" spans="1:4" x14ac:dyDescent="0.25">
      <c r="A46" s="54" t="s">
        <v>25</v>
      </c>
      <c r="B46" s="1"/>
      <c r="C46" s="19"/>
      <c r="D46" s="17">
        <f>IF(B19&gt;833000,ROUND(833000*C47,2),ROUND(C47*$B$19,2))</f>
        <v>9</v>
      </c>
    </row>
    <row r="47" spans="1:4" x14ac:dyDescent="0.25">
      <c r="A47" s="54"/>
      <c r="B47" s="1" t="s">
        <v>21</v>
      </c>
      <c r="C47" s="19">
        <f>'117'!C44</f>
        <v>1.8006999999999999E-3</v>
      </c>
      <c r="D47" s="18"/>
    </row>
    <row r="48" spans="1:4" x14ac:dyDescent="0.25">
      <c r="A48" s="54"/>
      <c r="B48" s="1"/>
      <c r="C48" s="19"/>
      <c r="D48" s="18"/>
    </row>
    <row r="49" spans="1:4" x14ac:dyDescent="0.25">
      <c r="A49" s="54" t="s">
        <v>26</v>
      </c>
      <c r="B49" s="1"/>
      <c r="C49" s="1"/>
      <c r="D49" s="17">
        <f>'117'!D46</f>
        <v>0</v>
      </c>
    </row>
    <row r="50" spans="1:4" x14ac:dyDescent="0.25">
      <c r="A50" s="54"/>
      <c r="B50" s="1" t="s">
        <v>24</v>
      </c>
      <c r="C50" s="19">
        <v>0</v>
      </c>
      <c r="D50" s="18"/>
    </row>
    <row r="51" spans="1:4" x14ac:dyDescent="0.25">
      <c r="A51" s="54"/>
      <c r="B51" s="1"/>
      <c r="C51" s="21"/>
      <c r="D51" s="18"/>
    </row>
    <row r="52" spans="1:4" x14ac:dyDescent="0.25">
      <c r="A52" s="54" t="s">
        <v>27</v>
      </c>
      <c r="B52" s="1"/>
      <c r="C52" s="1"/>
      <c r="D52" s="17">
        <f>IF($B$19&lt;2001,ROUND($B$19*C53,2),IF($B$19&gt;15000,ROUND(2000*C53,2)+ROUND(13000*C54,2)+ROUND(($B$19-15000)*C55,2),ROUND(2000*C53,2)+ROUND(($B$19-2000)*C54,2)))</f>
        <v>21.87</v>
      </c>
    </row>
    <row r="53" spans="1:4" x14ac:dyDescent="0.25">
      <c r="A53" s="54"/>
      <c r="B53" s="1" t="s">
        <v>28</v>
      </c>
      <c r="C53" s="19">
        <v>4.6499999999999996E-3</v>
      </c>
      <c r="D53" s="18"/>
    </row>
    <row r="54" spans="1:4" x14ac:dyDescent="0.25">
      <c r="A54" s="54"/>
      <c r="B54" s="1" t="s">
        <v>29</v>
      </c>
      <c r="C54" s="19">
        <v>4.1900000000000001E-3</v>
      </c>
      <c r="D54" s="18"/>
    </row>
    <row r="55" spans="1:4" x14ac:dyDescent="0.25">
      <c r="A55" s="54"/>
      <c r="B55" s="1" t="s">
        <v>30</v>
      </c>
      <c r="C55" s="19">
        <v>3.63E-3</v>
      </c>
      <c r="D55" s="18"/>
    </row>
    <row r="56" spans="1:4" x14ac:dyDescent="0.25">
      <c r="A56" s="54"/>
      <c r="B56" s="1"/>
      <c r="C56" s="19"/>
      <c r="D56" s="18"/>
    </row>
    <row r="57" spans="1:4" x14ac:dyDescent="0.25">
      <c r="A57" s="54"/>
      <c r="B57" s="1"/>
      <c r="C57" s="19"/>
      <c r="D57" s="18"/>
    </row>
    <row r="58" spans="1:4" x14ac:dyDescent="0.25">
      <c r="A58" s="54" t="s">
        <v>31</v>
      </c>
      <c r="B58" s="1"/>
      <c r="C58" s="19"/>
      <c r="D58" s="18">
        <f>ROUND(C59*(D28+D34),2)</f>
        <v>3.62</v>
      </c>
    </row>
    <row r="59" spans="1:4" x14ac:dyDescent="0.25">
      <c r="A59" s="54"/>
      <c r="B59" s="1" t="s">
        <v>32</v>
      </c>
      <c r="C59" s="75">
        <f>'117'!C55</f>
        <v>8.3150000000000002E-2</v>
      </c>
      <c r="D59" s="18"/>
    </row>
    <row r="60" spans="1:4" x14ac:dyDescent="0.25">
      <c r="A60" s="55"/>
      <c r="B60" s="1"/>
      <c r="C60" s="68"/>
      <c r="D60" s="18"/>
    </row>
    <row r="61" spans="1:4" x14ac:dyDescent="0.25">
      <c r="A61" s="71" t="s">
        <v>33</v>
      </c>
      <c r="B61" s="1"/>
      <c r="C61" s="76"/>
      <c r="D61" s="18">
        <f>C62</f>
        <v>1.1000000000000001</v>
      </c>
    </row>
    <row r="62" spans="1:4" x14ac:dyDescent="0.25">
      <c r="A62" s="71"/>
      <c r="B62" s="1" t="s">
        <v>15</v>
      </c>
      <c r="C62" s="76">
        <v>1.1000000000000001</v>
      </c>
      <c r="D62" s="18"/>
    </row>
    <row r="63" spans="1:4" x14ac:dyDescent="0.25">
      <c r="A63" s="55"/>
      <c r="B63" s="1"/>
      <c r="C63" s="68"/>
      <c r="D63" s="18"/>
    </row>
    <row r="64" spans="1:4" x14ac:dyDescent="0.25">
      <c r="A64" s="54" t="s">
        <v>34</v>
      </c>
      <c r="B64" s="1"/>
      <c r="C64" s="68"/>
      <c r="D64" s="18">
        <f>ROUND((D28+D34)*C65,2)</f>
        <v>4.5999999999999996</v>
      </c>
    </row>
    <row r="65" spans="1:4" x14ac:dyDescent="0.25">
      <c r="A65" s="55"/>
      <c r="B65" s="1" t="s">
        <v>32</v>
      </c>
      <c r="C65" s="68">
        <f>'117'!C61</f>
        <v>0.105778</v>
      </c>
      <c r="D65" s="18"/>
    </row>
    <row r="66" spans="1:4" x14ac:dyDescent="0.25">
      <c r="A66" s="55"/>
      <c r="B66" s="22"/>
      <c r="C66" s="1"/>
      <c r="D66" s="18"/>
    </row>
    <row r="67" spans="1:4" x14ac:dyDescent="0.25">
      <c r="A67" s="54" t="s">
        <v>35</v>
      </c>
      <c r="B67" s="1"/>
      <c r="C67" s="1"/>
      <c r="D67" s="18"/>
    </row>
    <row r="68" spans="1:4" x14ac:dyDescent="0.25">
      <c r="A68" s="54"/>
      <c r="B68" s="1"/>
      <c r="C68" s="1"/>
      <c r="D68" s="69"/>
    </row>
    <row r="69" spans="1:4" x14ac:dyDescent="0.25">
      <c r="A69" s="54"/>
      <c r="B69" s="1"/>
      <c r="C69" s="1"/>
      <c r="D69" s="69"/>
    </row>
    <row r="70" spans="1:4" x14ac:dyDescent="0.25">
      <c r="A70" s="54"/>
      <c r="B70" s="1"/>
      <c r="C70" s="1"/>
      <c r="D70" s="69"/>
    </row>
    <row r="71" spans="1:4" x14ac:dyDescent="0.25">
      <c r="A71" s="54"/>
      <c r="B71" s="1"/>
      <c r="C71" s="1"/>
      <c r="D71" s="69"/>
    </row>
    <row r="72" spans="1:4" x14ac:dyDescent="0.25">
      <c r="A72" s="54"/>
      <c r="B72" s="1"/>
      <c r="C72" s="19"/>
      <c r="D72" s="69"/>
    </row>
    <row r="73" spans="1:4" x14ac:dyDescent="0.25">
      <c r="A73" s="71" t="s">
        <v>62</v>
      </c>
      <c r="B73" s="1"/>
      <c r="C73" s="19"/>
      <c r="D73" s="69">
        <f>C74</f>
        <v>6.34</v>
      </c>
    </row>
    <row r="74" spans="1:4" x14ac:dyDescent="0.25">
      <c r="A74" s="72"/>
      <c r="B74" s="1" t="s">
        <v>15</v>
      </c>
      <c r="C74" s="74">
        <f>'117'!C70</f>
        <v>6.34</v>
      </c>
      <c r="D74" s="69"/>
    </row>
    <row r="75" spans="1:4" x14ac:dyDescent="0.25">
      <c r="A75" s="54"/>
      <c r="B75" s="1"/>
      <c r="C75" s="19"/>
      <c r="D75" s="69"/>
    </row>
    <row r="76" spans="1:4" x14ac:dyDescent="0.25">
      <c r="A76" s="54" t="s">
        <v>37</v>
      </c>
      <c r="B76" s="1"/>
      <c r="C76" s="1"/>
      <c r="D76" s="69">
        <f>IF($B$19&lt;1501,ROUND($B$19*C78,2)+ROUND($B$20*C77,2),IF($B$19&gt;1500,ROUND(1500*C78,2)+ROUND(($B$19-1500)*C79,2)+ROUND(C77*$B$20,2)))</f>
        <v>13.91</v>
      </c>
    </row>
    <row r="77" spans="1:4" x14ac:dyDescent="0.25">
      <c r="A77" s="54"/>
      <c r="B77" s="1" t="s">
        <v>38</v>
      </c>
      <c r="C77" s="19">
        <v>1.8984987960668851</v>
      </c>
      <c r="D77" s="69"/>
    </row>
    <row r="78" spans="1:4" x14ac:dyDescent="0.25">
      <c r="A78" s="54"/>
      <c r="B78" s="1" t="s">
        <v>39</v>
      </c>
      <c r="C78" s="19">
        <v>6.9340000000000005E-4</v>
      </c>
      <c r="D78" s="17"/>
    </row>
    <row r="79" spans="1:4" x14ac:dyDescent="0.25">
      <c r="A79" s="54"/>
      <c r="B79" s="1" t="s">
        <v>40</v>
      </c>
      <c r="C79" s="19">
        <v>6.9340000000000005E-4</v>
      </c>
      <c r="D79" s="17"/>
    </row>
    <row r="80" spans="1:4" x14ac:dyDescent="0.25">
      <c r="A80" s="54"/>
      <c r="B80" s="1"/>
      <c r="C80" s="19"/>
      <c r="D80" s="17"/>
    </row>
    <row r="81" spans="1:4" x14ac:dyDescent="0.25">
      <c r="A81" s="71" t="s">
        <v>41</v>
      </c>
      <c r="B81" s="1"/>
      <c r="C81" s="19"/>
      <c r="D81" s="17">
        <f>ROUND((D28+D34)*C82,2)</f>
        <v>-0.84</v>
      </c>
    </row>
    <row r="82" spans="1:4" x14ac:dyDescent="0.25">
      <c r="A82" s="71"/>
      <c r="B82" s="1" t="s">
        <v>42</v>
      </c>
      <c r="C82" s="68">
        <f>'117'!C78</f>
        <v>-1.9311999999999999E-2</v>
      </c>
      <c r="D82" s="17"/>
    </row>
    <row r="83" spans="1:4" x14ac:dyDescent="0.25">
      <c r="A83" s="54"/>
      <c r="B83" s="1"/>
      <c r="C83" s="19"/>
      <c r="D83" s="17"/>
    </row>
    <row r="84" spans="1:4" x14ac:dyDescent="0.25">
      <c r="A84" s="55" t="s">
        <v>43</v>
      </c>
      <c r="B84" s="1"/>
      <c r="C84" s="19"/>
      <c r="D84" s="67">
        <f>SUM(D31:D81)</f>
        <v>98.88</v>
      </c>
    </row>
    <row r="85" spans="1:4" x14ac:dyDescent="0.25">
      <c r="A85" s="55"/>
      <c r="B85" s="1"/>
      <c r="C85" s="19"/>
      <c r="D85" s="17"/>
    </row>
    <row r="86" spans="1:4" ht="16.5" thickBot="1" x14ac:dyDescent="0.3">
      <c r="A86" s="56" t="s">
        <v>44</v>
      </c>
      <c r="B86" s="23"/>
      <c r="C86" s="24"/>
      <c r="D86" s="25">
        <f>SUM(D84+D28)</f>
        <v>115.56</v>
      </c>
    </row>
    <row r="87" spans="1:4" ht="16.5" thickBot="1" x14ac:dyDescent="0.3">
      <c r="A87" s="41"/>
      <c r="B87" s="22"/>
      <c r="C87" s="1"/>
      <c r="D87" s="26"/>
    </row>
    <row r="88" spans="1:4" ht="17.25" thickTop="1" thickBot="1" x14ac:dyDescent="0.3">
      <c r="A88" s="57" t="s">
        <v>45</v>
      </c>
      <c r="B88" s="27"/>
      <c r="C88" s="28"/>
      <c r="D88" s="29"/>
    </row>
    <row r="89" spans="1:4" x14ac:dyDescent="0.25">
      <c r="A89" s="58" t="s">
        <v>46</v>
      </c>
      <c r="B89" s="30"/>
      <c r="C89" s="30"/>
      <c r="D89" s="31">
        <f>IF($B$19&lt;1501,ROUND($B$19*C91,2)+ROUND($B$19*C90,2),IF($B$19&gt;125000,ROUND(1500*C91,2)+ROUND(123500*C92,2)+ROUND(($B$19-125000)*C93,2)+ROUND($B$18*C90,2),ROUND(1500*C91,2)+ROUND(($B$19-1500)*C92,2)+ROUND(C90*$B$18,2)))</f>
        <v>540.36</v>
      </c>
    </row>
    <row r="90" spans="1:4" x14ac:dyDescent="0.25">
      <c r="A90" s="59"/>
      <c r="B90" s="1" t="s">
        <v>38</v>
      </c>
      <c r="C90" s="19">
        <v>0</v>
      </c>
      <c r="D90" s="32"/>
    </row>
    <row r="91" spans="1:4" x14ac:dyDescent="0.25">
      <c r="A91" s="60"/>
      <c r="B91" s="1" t="s">
        <v>39</v>
      </c>
      <c r="C91" s="19">
        <v>0.1080709</v>
      </c>
      <c r="D91" s="32"/>
    </row>
    <row r="92" spans="1:4" x14ac:dyDescent="0.25">
      <c r="A92" s="60"/>
      <c r="B92" s="1" t="s">
        <v>47</v>
      </c>
      <c r="C92" s="19">
        <v>0.1080709</v>
      </c>
      <c r="D92" s="32"/>
    </row>
    <row r="93" spans="1:4" x14ac:dyDescent="0.25">
      <c r="A93" s="60"/>
      <c r="B93" s="1" t="s">
        <v>48</v>
      </c>
      <c r="C93" s="19">
        <v>0.1080709</v>
      </c>
      <c r="D93" s="32"/>
    </row>
    <row r="94" spans="1:4" x14ac:dyDescent="0.25">
      <c r="A94" s="60"/>
      <c r="B94" s="22"/>
      <c r="C94" s="1"/>
      <c r="D94" s="32"/>
    </row>
    <row r="95" spans="1:4" ht="16.5" thickBot="1" x14ac:dyDescent="0.3">
      <c r="A95" s="60" t="s">
        <v>49</v>
      </c>
      <c r="B95" s="22"/>
      <c r="C95" s="1"/>
      <c r="D95" s="33">
        <f>SUM(D89)</f>
        <v>540.36</v>
      </c>
    </row>
    <row r="96" spans="1:4" ht="16.5" thickTop="1" x14ac:dyDescent="0.25">
      <c r="A96" s="61"/>
      <c r="B96" s="34"/>
      <c r="C96" s="35"/>
      <c r="D96" s="36"/>
    </row>
    <row r="97" spans="1:4" ht="16.5" thickBot="1" x14ac:dyDescent="0.3">
      <c r="A97" s="62" t="s">
        <v>50</v>
      </c>
      <c r="B97" s="77"/>
      <c r="C97" s="77"/>
      <c r="D97" s="37">
        <f>D95+D86</f>
        <v>655.92000000000007</v>
      </c>
    </row>
    <row r="98" spans="1:4" ht="17.25" thickTop="1" thickBot="1" x14ac:dyDescent="0.3">
      <c r="A98" s="51"/>
      <c r="B98" s="1"/>
      <c r="C98" s="1"/>
      <c r="D98" s="1"/>
    </row>
    <row r="99" spans="1:4" ht="16.5" thickTop="1" x14ac:dyDescent="0.25">
      <c r="A99" s="41"/>
      <c r="B99" s="78" t="s">
        <v>51</v>
      </c>
      <c r="C99" s="79"/>
      <c r="D99" s="80"/>
    </row>
    <row r="100" spans="1:4" x14ac:dyDescent="0.25">
      <c r="A100" s="51"/>
      <c r="B100" s="38"/>
      <c r="C100" s="1"/>
      <c r="D100" s="39"/>
    </row>
    <row r="101" spans="1:4" x14ac:dyDescent="0.25">
      <c r="A101" s="51"/>
      <c r="B101" s="40" t="s">
        <v>13</v>
      </c>
      <c r="C101" s="41"/>
      <c r="D101" s="39"/>
    </row>
    <row r="102" spans="1:4" x14ac:dyDescent="0.25">
      <c r="A102" s="51"/>
      <c r="B102" s="42" t="s">
        <v>52</v>
      </c>
      <c r="C102" s="1"/>
      <c r="D102" s="43">
        <f>D28</f>
        <v>16.68</v>
      </c>
    </row>
    <row r="103" spans="1:4" x14ac:dyDescent="0.25">
      <c r="A103" s="51"/>
      <c r="B103" s="42" t="s">
        <v>53</v>
      </c>
      <c r="C103" s="1"/>
      <c r="D103" s="43">
        <f>D84</f>
        <v>98.88</v>
      </c>
    </row>
    <row r="104" spans="1:4" x14ac:dyDescent="0.25">
      <c r="A104" s="51"/>
      <c r="B104" s="44" t="s">
        <v>44</v>
      </c>
      <c r="C104" s="1"/>
      <c r="D104" s="45">
        <f>D86</f>
        <v>115.56</v>
      </c>
    </row>
    <row r="105" spans="1:4" x14ac:dyDescent="0.25">
      <c r="A105" s="51"/>
      <c r="B105" s="42"/>
      <c r="C105" s="1"/>
      <c r="D105" s="43"/>
    </row>
    <row r="106" spans="1:4" x14ac:dyDescent="0.25">
      <c r="A106" s="51"/>
      <c r="B106" s="46" t="s">
        <v>54</v>
      </c>
      <c r="C106" s="1"/>
      <c r="D106" s="39"/>
    </row>
    <row r="107" spans="1:4" ht="16.5" thickBot="1" x14ac:dyDescent="0.3">
      <c r="A107" s="41"/>
      <c r="B107" s="47" t="s">
        <v>49</v>
      </c>
      <c r="C107" s="48"/>
      <c r="D107" s="49">
        <f>D95</f>
        <v>540.36</v>
      </c>
    </row>
    <row r="108" spans="1:4" ht="16.5" thickTop="1" x14ac:dyDescent="0.25">
      <c r="A108" s="51"/>
      <c r="B108" s="1"/>
      <c r="C108" s="1"/>
      <c r="D108" s="1"/>
    </row>
    <row r="109" spans="1:4" x14ac:dyDescent="0.25">
      <c r="A109" s="63"/>
      <c r="B109" s="50"/>
    </row>
  </sheetData>
  <sheetProtection algorithmName="SHA-512" hashValue="ije0ibZfjpxuOFq1X5CEDazGVbZgerBUXlxyXiq0LSC3S0OeVqpGmz8eWl1P+tmvUY+Zgv3QdQoD142Epz307w==" saltValue="G/vnPOgic7/sDerZDAvwVg==" spinCount="100000" sheet="1" selectLockedCells="1"/>
  <mergeCells count="9">
    <mergeCell ref="B99:D99"/>
    <mergeCell ref="A7:D7"/>
    <mergeCell ref="A1:D1"/>
    <mergeCell ref="A2:D2"/>
    <mergeCell ref="A5:D5"/>
    <mergeCell ref="A6:D6"/>
    <mergeCell ref="A14:D14"/>
    <mergeCell ref="A15:D15"/>
    <mergeCell ref="B97:C97"/>
  </mergeCells>
  <conditionalFormatting sqref="C1:D6 C8:D17 C18:C19">
    <cfRule type="cellIs" dxfId="2" priority="9" operator="lessThan">
      <formula>0</formula>
    </cfRule>
  </conditionalFormatting>
  <conditionalFormatting sqref="C20:D98">
    <cfRule type="cellIs" dxfId="1" priority="1" operator="lessThan">
      <formula>0</formula>
    </cfRule>
  </conditionalFormatting>
  <conditionalFormatting sqref="C100:D65537">
    <cfRule type="cellIs" dxfId="0" priority="4" operator="lessThan">
      <formula>0</formula>
    </cfRule>
  </conditionalFormatting>
  <dataValidations count="1">
    <dataValidation type="decimal" errorStyle="information" allowBlank="1" showInputMessage="1" showErrorMessage="1" errorTitle="Invalid Entry" error="This cell must contain a positive number." sqref="B17:B21" xr:uid="{00000000-0002-0000-0100-000000000000}">
      <formula1>0</formula1>
      <formula2>100000000</formula2>
    </dataValidation>
  </dataValidations>
  <printOptions horizontalCentered="1"/>
  <pageMargins left="0.7" right="0.7" top="0.75" bottom="0.75" header="0.3" footer="0.3"/>
  <pageSetup scale="75" orientation="portrait" r:id="rId1"/>
  <headerFooter>
    <oddHeader xml:space="preserve">&amp;L&amp;G&amp;R&amp;"Arial,Regular"   Effective April 1, 2024
</oddHeader>
    <oddFooter>&amp;L&amp;"Arial,Regular"Worksheet valid for calculating bills starting on April 1, 2024.  This billing worksheet does not take into account the maximum billing charges for this rate structure.</oddFooter>
  </headerFooter>
  <ignoredErrors>
    <ignoredError sqref="B19" unlockedFormula="1"/>
  </ignoredError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35DA127EFEA643A071466D67462D58" ma:contentTypeVersion="18" ma:contentTypeDescription="Create a new document." ma:contentTypeScope="" ma:versionID="bb4d01d89fac8602414c897f6783ecea">
  <xsd:schema xmlns:xsd="http://www.w3.org/2001/XMLSchema" xmlns:xs="http://www.w3.org/2001/XMLSchema" xmlns:p="http://schemas.microsoft.com/office/2006/metadata/properties" xmlns:ns2="64e94169-021c-4578-be09-6006b4dea068" xmlns:ns3="8e537545-18ac-42cc-8f2a-89499299f0e1" targetNamespace="http://schemas.microsoft.com/office/2006/metadata/properties" ma:root="true" ma:fieldsID="adac88aae904a8fc569624feeb3c92b0" ns2:_="" ns3:_="">
    <xsd:import namespace="64e94169-021c-4578-be09-6006b4dea068"/>
    <xsd:import namespace="8e537545-18ac-42cc-8f2a-89499299f0e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_Flow_SignoffStatus" minOccurs="0"/>
                <xsd:element ref="ns2:MediaServiceDateTake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e94169-021c-4578-be09-6006b4dea0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_Flow_SignoffStatus" ma:index="19" nillable="true" ma:displayName="Sign-off status" ma:internalName="Sign_x002d_off_x0020_status">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d4df7da-c195-4679-b09b-159ed35ba17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e537545-18ac-42cc-8f2a-89499299f0e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45159a9-6d9c-4454-b472-74cf3cb3e2d5}" ma:internalName="TaxCatchAll" ma:showField="CatchAllData" ma:web="8e537545-18ac-42cc-8f2a-89499299f0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64e94169-021c-4578-be09-6006b4dea068" xsi:nil="true"/>
    <TaxCatchAll xmlns="8e537545-18ac-42cc-8f2a-89499299f0e1" xsi:nil="true"/>
    <lcf76f155ced4ddcb4097134ff3c332f xmlns="64e94169-021c-4578-be09-6006b4dea06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92A782E-41B7-44A4-97ED-36E3E2E182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e94169-021c-4578-be09-6006b4dea068"/>
    <ds:schemaRef ds:uri="8e537545-18ac-42cc-8f2a-89499299f0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66415B-DDEE-46ED-A1AF-4B2EF89E995F}">
  <ds:schemaRefs>
    <ds:schemaRef ds:uri="http://schemas.microsoft.com/sharepoint/v3/contenttype/forms"/>
  </ds:schemaRefs>
</ds:datastoreItem>
</file>

<file path=customXml/itemProps3.xml><?xml version="1.0" encoding="utf-8"?>
<ds:datastoreItem xmlns:ds="http://schemas.openxmlformats.org/officeDocument/2006/customXml" ds:itemID="{A95A7285-01AC-40F7-ABF9-E96086F5906A}">
  <ds:schemaRefs>
    <ds:schemaRef ds:uri="http://schemas.microsoft.com/office/2006/metadata/properties"/>
    <ds:schemaRef ds:uri="http://schemas.microsoft.com/office/infopath/2007/PartnerControls"/>
    <ds:schemaRef ds:uri="64e94169-021c-4578-be09-6006b4dea068"/>
    <ds:schemaRef ds:uri="8e537545-18ac-42cc-8f2a-89499299f0e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117</vt:lpstr>
      <vt:lpstr>117 - Net Metering</vt:lpstr>
    </vt:vector>
  </TitlesOfParts>
  <Manager/>
  <Company>The Dayton Power and Light Company,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Blevins</dc:creator>
  <cp:keywords/>
  <dc:description/>
  <cp:lastModifiedBy>David J Saliba</cp:lastModifiedBy>
  <cp:revision/>
  <dcterms:created xsi:type="dcterms:W3CDTF">2010-05-07T14:07:10Z</dcterms:created>
  <dcterms:modified xsi:type="dcterms:W3CDTF">2024-03-29T17:23:22Z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0x010100F335DA127EFEA643A071466D67462D58</vt:lpwstr>
  </property>
  <property fmtid="{D5CDD505-2E9C-101B-9397-08002B2CF9AE}" pid="3" name="MediaServiceImageTags">
    <vt:lpwstr/>
  </property>
</Properties>
</file>