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dsbres0.dplinc.com\Corp_Data\Bill Calculators\Bill Calculator Guides\April 1, 2024\"/>
    </mc:Choice>
  </mc:AlternateContent>
  <xr:revisionPtr revIDLastSave="0" documentId="13_ncr:1_{575D0F6F-5624-47C6-B5A8-7007525A0A75}" xr6:coauthVersionLast="47" xr6:coauthVersionMax="47" xr10:uidLastSave="{00000000-0000-0000-0000-000000000000}"/>
  <workbookProtection workbookPassword="EE7D" lockStructure="1"/>
  <bookViews>
    <workbookView xWindow="-120" yWindow="-120" windowWidth="29040" windowHeight="15840" xr2:uid="{00000000-000D-0000-FFFF-FFFF00000000}"/>
  </bookViews>
  <sheets>
    <sheet name="168" sheetId="1" r:id="rId1"/>
    <sheet name="168 Net Metering"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6" i="2" l="1"/>
  <c r="D65" i="2" s="1"/>
  <c r="D53" i="1"/>
  <c r="D62" i="2"/>
  <c r="D59" i="1"/>
  <c r="D33" i="1"/>
  <c r="C77" i="2"/>
  <c r="D42" i="1"/>
  <c r="D32" i="2"/>
  <c r="C36" i="2"/>
  <c r="C37" i="2"/>
  <c r="C40" i="2"/>
  <c r="D39" i="2" s="1"/>
  <c r="C43" i="2"/>
  <c r="C46" i="2"/>
  <c r="C49" i="2"/>
  <c r="C52" i="2"/>
  <c r="C53" i="2"/>
  <c r="C54" i="2"/>
  <c r="C57" i="2"/>
  <c r="D29" i="2"/>
  <c r="C69" i="2"/>
  <c r="D68" i="2" s="1"/>
  <c r="C72" i="2"/>
  <c r="C73" i="2"/>
  <c r="C74" i="2"/>
  <c r="D23" i="1"/>
  <c r="D74" i="1" s="1"/>
  <c r="D26" i="1"/>
  <c r="D29" i="1"/>
  <c r="D36" i="1"/>
  <c r="D39" i="1"/>
  <c r="D45" i="1"/>
  <c r="D66" i="1"/>
  <c r="D69" i="1"/>
  <c r="B20" i="2"/>
  <c r="C89" i="2"/>
  <c r="D86" i="1"/>
  <c r="D89" i="1" s="1"/>
  <c r="D48" i="2" l="1"/>
  <c r="D59" i="2"/>
  <c r="D45" i="2"/>
  <c r="D88" i="2"/>
  <c r="D91" i="2" s="1"/>
  <c r="D26" i="2" s="1"/>
  <c r="D42" i="2"/>
  <c r="D35" i="2"/>
  <c r="D51" i="2"/>
  <c r="D56" i="2"/>
  <c r="D71" i="2"/>
  <c r="D101" i="1"/>
  <c r="D20" i="1"/>
  <c r="D76" i="2"/>
  <c r="D98" i="2"/>
  <c r="D56" i="1"/>
  <c r="D96" i="1"/>
  <c r="D50" i="1"/>
  <c r="D103" i="2" l="1"/>
  <c r="D77" i="1"/>
  <c r="D97" i="1" s="1"/>
  <c r="D79" i="2"/>
  <c r="D99" i="2" s="1"/>
  <c r="D79" i="1" l="1"/>
  <c r="D18" i="1" s="1"/>
  <c r="D81" i="2"/>
  <c r="D100" i="2" s="1"/>
  <c r="D98" i="1" l="1"/>
  <c r="D91" i="1"/>
  <c r="D93" i="2"/>
  <c r="D24" i="2"/>
</calcChain>
</file>

<file path=xl/sharedStrings.xml><?xml version="1.0" encoding="utf-8"?>
<sst xmlns="http://schemas.openxmlformats.org/spreadsheetml/2006/main" count="134" uniqueCount="75">
  <si>
    <t>You will need:</t>
  </si>
  <si>
    <t xml:space="preserve">kWh Usage:    </t>
  </si>
  <si>
    <t xml:space="preserve">A flat fee per billing period of </t>
  </si>
  <si>
    <t>Multiply the Billed kWh by</t>
  </si>
  <si>
    <t>Excise Tax (D33):</t>
  </si>
  <si>
    <t xml:space="preserve">0 – 2,000 kWh multiply by </t>
  </si>
  <si>
    <t xml:space="preserve">2,001 – 15,000 kWh multiply by </t>
  </si>
  <si>
    <t xml:space="preserve">over 15,000 kWh multiply by </t>
  </si>
  <si>
    <t>kW (Demand):</t>
  </si>
  <si>
    <t>Multiply the Billed Demand by</t>
  </si>
  <si>
    <t xml:space="preserve">Multiply the Billed kWh by </t>
  </si>
  <si>
    <t>Multiply the Billed kVAR by</t>
  </si>
  <si>
    <t>Kvar:</t>
  </si>
  <si>
    <t>Energy Efficiency Rider (D38):</t>
  </si>
  <si>
    <t>Customer Charge</t>
  </si>
  <si>
    <t>Economic Development Rider (D39):</t>
  </si>
  <si>
    <t>Transmission Cost Recovery Rider - Non-bypassable (T8):</t>
  </si>
  <si>
    <t xml:space="preserve">Other Delivery Charges: </t>
  </si>
  <si>
    <t xml:space="preserve">Other Delivery Charges Total: </t>
  </si>
  <si>
    <t xml:space="preserve">Supply Charges: </t>
  </si>
  <si>
    <t xml:space="preserve">Supply Total: </t>
  </si>
  <si>
    <t xml:space="preserve">Total Bill: </t>
  </si>
  <si>
    <t>Other Delivery Charges</t>
  </si>
  <si>
    <t>Supply Charges</t>
  </si>
  <si>
    <t>Total Bill</t>
  </si>
  <si>
    <t>Price - To - Compare</t>
  </si>
  <si>
    <t>Input Usage Below</t>
  </si>
  <si>
    <t>Standard Offer Rate (G10):</t>
  </si>
  <si>
    <t>Universal Service Rider (D28):</t>
  </si>
  <si>
    <t xml:space="preserve">% of Base Distribution </t>
  </si>
  <si>
    <t>Multiply the Billed kWh 0-833,000 by</t>
  </si>
  <si>
    <t>Multiply the Billed kWh &gt; 833,000 by</t>
  </si>
  <si>
    <t>A flat fee per billing period of</t>
  </si>
  <si>
    <t xml:space="preserve">kWh Actual:    </t>
  </si>
  <si>
    <t>kWh Received:</t>
  </si>
  <si>
    <t>kWh Net:</t>
  </si>
  <si>
    <t>Non-Residential (Rate 168, 158)</t>
  </si>
  <si>
    <t>For Rate 168 or Rate 158, you will need to find the total electric usage for the month and the billing demand. For customers on Rate 198, you will need to adjust your kWh plus 1%.</t>
  </si>
  <si>
    <t>Non-Residential (Rate 168, 158) - Net Metering</t>
  </si>
  <si>
    <t xml:space="preserve">As a Net Metering customer you will enter Actual and Received kWh located on your bill in addition to your kW demand.  For customers on Rate 158, you will need to adjust your Actual kWh up by 1% and adjust your Received kWh down by 1%.  Example: Actual usage 5000 X 101%=5050, Received usage 2000 kWh X 99% =1980 </t>
  </si>
  <si>
    <t>For Rate 168 or Rate 158, you will need to find the total electric usage for the month and the billing demand. For customers on Rate 158, you will need to adjust your kWh plus 1%.</t>
  </si>
  <si>
    <t xml:space="preserve">Customer Charge (D22):  </t>
  </si>
  <si>
    <t xml:space="preserve">     Tax Credit Savings Rider (D41):</t>
  </si>
  <si>
    <t>How to Calculate Your AES Ohio Bill</t>
  </si>
  <si>
    <t>To verify you are on Rate 168 or Rate 158 - find the section near the middle of your AES Ohio bill labeled “Usage Detail", below which the column titled "Rate"  should read 168 or 158.</t>
  </si>
  <si>
    <t>Your monthly kWh Usage is to the left of your Rate number on your AES Ohio bill. See example below.</t>
  </si>
  <si>
    <t>To verify that your bill is within a 25 to 35 day billing cycle (also on your AES Ohio bill) - under "Usage Detail" find the column titled "Billing Days".  NOTE:  this rate worksheet will not correctly calculate bills outside of the 25 to 35 day billing cycle. Net Metering customers see second tab for rates.</t>
  </si>
  <si>
    <t>To obtain your monthly Kvar Usage, on your AES Ohio bill - -  under "Usage Detail" find the column titled "Usage".</t>
  </si>
  <si>
    <t xml:space="preserve">AES Ohio Delivery Charges: </t>
  </si>
  <si>
    <t xml:space="preserve">AES Ohio Delivery Total: </t>
  </si>
  <si>
    <t>How charges appear on AES Ohio's bill</t>
  </si>
  <si>
    <t>To verify that your bill is within a 25 to 35 day billing cycle (also on your AES Ohio bill) - under "Usage Detail" find the column titled "Billing Days".  NOTE:  this rate worksheet will not correctly calculate bills outside of the 25 to 35 day billing cycle.</t>
  </si>
  <si>
    <t xml:space="preserve">Solar Generation Fund Rider (D27): </t>
  </si>
  <si>
    <t xml:space="preserve">        Storm Cost Recovery Rider (D30):</t>
  </si>
  <si>
    <t xml:space="preserve">       Storm Cost Recovery Rider (D30):</t>
  </si>
  <si>
    <t xml:space="preserve">            Regulatory Compliance Rider  (D31):</t>
  </si>
  <si>
    <t xml:space="preserve">            Proactive Reliability Optimization Rider  (D32):</t>
  </si>
  <si>
    <t xml:space="preserve">            Customer Programs Rider (D37):</t>
  </si>
  <si>
    <t xml:space="preserve">              Infrastructure Investment Rider (D29):</t>
  </si>
  <si>
    <t xml:space="preserve">              Customer Programs Rider (D37):</t>
  </si>
  <si>
    <t xml:space="preserve">              Proactive Reliability Optimization Rider  (D32):</t>
  </si>
  <si>
    <t xml:space="preserve">              Distribution Investment Rider (D36):</t>
  </si>
  <si>
    <t xml:space="preserve">            Distribution Investment Rider (D36):</t>
  </si>
  <si>
    <t xml:space="preserve">       Tax Credit Savings Rider (D41):</t>
  </si>
  <si>
    <t xml:space="preserve">            Universal Service Rider (D28):</t>
  </si>
  <si>
    <t xml:space="preserve">            Solar Generation Fund Rider (D27): </t>
  </si>
  <si>
    <t xml:space="preserve">            Energy Efficiency Rider (D38):</t>
  </si>
  <si>
    <t xml:space="preserve">            Economic Development Rider (D39):</t>
  </si>
  <si>
    <t xml:space="preserve">            Legacy Generation Rider (D40):</t>
  </si>
  <si>
    <t xml:space="preserve">            Excise Tax (D33):</t>
  </si>
  <si>
    <t xml:space="preserve">            Infrastructure Investment Rider (D29):</t>
  </si>
  <si>
    <t xml:space="preserve">        Transmission Cost Recovery Rider - Non-bypassable (T8):</t>
  </si>
  <si>
    <t xml:space="preserve">            Reserved for future use</t>
  </si>
  <si>
    <t>Legacy Generation Rider (D40):</t>
  </si>
  <si>
    <t xml:space="preserve">              Regulatory Compliance Rider  (D31):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</si>
</sst>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quot;$&quot;#,##0.00"/>
    <numFmt numFmtId="165" formatCode="0.0000000"/>
    <numFmt numFmtId="166" formatCode="_(&quot;$&quot;* #,##0.0000000_);_(&quot;$&quot;* \(#,##0.0000000\);_(&quot;$&quot;* &quot;-&quot;??_);_(@_)"/>
    <numFmt numFmtId="167" formatCode="_(&quot;$&quot;* #,##0.0000_);_(&quot;$&quot;* \(#,##0.0000\);_(&quot;$&quot;* &quot;-&quot;??_);_(@_)"/>
    <numFmt numFmtId="168" formatCode="#,##0.0;[Red]#,##0.0"/>
    <numFmt numFmtId="169" formatCode="#,##0;[Red]#,##0"/>
    <numFmt numFmtId="170" formatCode="_(&quot;$&quot;* #,##0.000000_);_(&quot;$&quot;* \(#,##0.000000\);_(&quot;$&quot;* &quot;-&quot;??_);_(@_)"/>
    <numFmt numFmtId="171" formatCode="0.00000%"/>
    <numFmt numFmtId="172" formatCode="0.0000%"/>
  </numFmts>
  <fonts count="17" x14ac:knownFonts="1">
    <font>
      <sz val="11"/>
      <color theme="1"/>
      <name val="Calibri"/>
      <family val="2"/>
      <scheme val="minor"/>
    </font>
    <font>
      <sz val="10"/>
      <name val="Arial"/>
      <family val="2"/>
    </font>
    <font>
      <sz val="10"/>
      <name val="Arial"/>
      <family val="2"/>
    </font>
    <font>
      <sz val="11"/>
      <color theme="1"/>
      <name val="Calibri"/>
      <family val="2"/>
      <scheme val="minor"/>
    </font>
    <font>
      <b/>
      <sz val="11"/>
      <color theme="1"/>
      <name val="Calibri"/>
      <family val="2"/>
      <scheme val="minor"/>
    </font>
    <font>
      <sz val="12"/>
      <color theme="1"/>
      <name val="Arial"/>
      <family val="2"/>
    </font>
    <font>
      <sz val="12"/>
      <color rgb="FFFF0000"/>
      <name val="Arial"/>
      <family val="2"/>
    </font>
    <font>
      <b/>
      <sz val="12"/>
      <color theme="1"/>
      <name val="Arial"/>
      <family val="2"/>
    </font>
    <font>
      <sz val="12"/>
      <name val="Arial"/>
      <family val="2"/>
    </font>
    <font>
      <b/>
      <sz val="12"/>
      <color rgb="FF0054A4"/>
      <name val="Arial"/>
      <family val="2"/>
    </font>
    <font>
      <sz val="12"/>
      <color theme="1"/>
      <name val="Calibri"/>
      <family val="2"/>
      <scheme val="minor"/>
    </font>
    <font>
      <b/>
      <sz val="12"/>
      <color theme="1"/>
      <name val="Calibri"/>
      <family val="2"/>
      <scheme val="minor"/>
    </font>
    <font>
      <sz val="11"/>
      <color theme="1"/>
      <name val="Arial"/>
      <family val="2"/>
    </font>
    <font>
      <b/>
      <sz val="11"/>
      <color theme="1"/>
      <name val="Arial"/>
      <family val="2"/>
    </font>
    <font>
      <sz val="11"/>
      <name val="Arial"/>
      <family val="2"/>
    </font>
    <font>
      <b/>
      <sz val="11"/>
      <color theme="0"/>
      <name val="Arial"/>
      <family val="2"/>
    </font>
    <font>
      <sz val="11"/>
      <color theme="0"/>
      <name val="Arial"/>
      <family val="2"/>
    </font>
  </fonts>
  <fills count="5">
    <fill>
      <patternFill patternType="none"/>
    </fill>
    <fill>
      <patternFill patternType="gray125"/>
    </fill>
    <fill>
      <patternFill patternType="solid">
        <fgColor rgb="FFFFFF00"/>
        <bgColor indexed="64"/>
      </patternFill>
    </fill>
    <fill>
      <patternFill patternType="solid">
        <fgColor rgb="FF61973E"/>
        <bgColor indexed="64"/>
      </patternFill>
    </fill>
    <fill>
      <patternFill patternType="solid">
        <fgColor rgb="FF0054A4"/>
        <bgColor indexed="64"/>
      </patternFill>
    </fill>
  </fills>
  <borders count="35">
    <border>
      <left/>
      <right/>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style="thick">
        <color rgb="FF61973E"/>
      </left>
      <right/>
      <top style="thick">
        <color rgb="FF61973E"/>
      </top>
      <bottom/>
      <diagonal/>
    </border>
    <border>
      <left/>
      <right/>
      <top style="thick">
        <color rgb="FF61973E"/>
      </top>
      <bottom/>
      <diagonal/>
    </border>
    <border>
      <left/>
      <right style="thick">
        <color rgb="FF61973E"/>
      </right>
      <top style="thick">
        <color rgb="FF61973E"/>
      </top>
      <bottom/>
      <diagonal/>
    </border>
    <border>
      <left/>
      <right style="thick">
        <color rgb="FF61973E"/>
      </right>
      <top/>
      <bottom/>
      <diagonal/>
    </border>
    <border>
      <left style="thick">
        <color rgb="FF61973E"/>
      </left>
      <right/>
      <top/>
      <bottom/>
      <diagonal/>
    </border>
    <border>
      <left style="thick">
        <color rgb="FF61973E"/>
      </left>
      <right/>
      <top/>
      <bottom style="thick">
        <color rgb="FF61973E"/>
      </bottom>
      <diagonal/>
    </border>
    <border>
      <left/>
      <right/>
      <top/>
      <bottom style="thick">
        <color rgb="FF61973E"/>
      </bottom>
      <diagonal/>
    </border>
    <border>
      <left/>
      <right style="thick">
        <color rgb="FF61973E"/>
      </right>
      <top/>
      <bottom style="thick">
        <color rgb="FF61973E"/>
      </bottom>
      <diagonal/>
    </border>
    <border>
      <left style="thick">
        <color rgb="FF0054A4"/>
      </left>
      <right/>
      <top/>
      <bottom/>
      <diagonal/>
    </border>
    <border>
      <left/>
      <right style="thick">
        <color rgb="FF0054A4"/>
      </right>
      <top/>
      <bottom/>
      <diagonal/>
    </border>
    <border>
      <left/>
      <right/>
      <top/>
      <bottom style="thick">
        <color rgb="FF0054A4"/>
      </bottom>
      <diagonal/>
    </border>
    <border>
      <left style="thick">
        <color rgb="FF0054A4"/>
      </left>
      <right/>
      <top/>
      <bottom style="thick">
        <color rgb="FF0054A4"/>
      </bottom>
      <diagonal/>
    </border>
    <border>
      <left/>
      <right style="thick">
        <color rgb="FF0054A4"/>
      </right>
      <top/>
      <bottom style="thick">
        <color rgb="FF0054A4"/>
      </bottom>
      <diagonal/>
    </border>
    <border>
      <left style="medium">
        <color theme="9"/>
      </left>
      <right style="medium">
        <color theme="9"/>
      </right>
      <top/>
      <bottom style="medium">
        <color theme="9"/>
      </bottom>
      <diagonal/>
    </border>
    <border>
      <left style="medium">
        <color theme="9"/>
      </left>
      <right style="medium">
        <color theme="9"/>
      </right>
      <top style="medium">
        <color theme="9"/>
      </top>
      <bottom style="medium">
        <color theme="9"/>
      </bottom>
      <diagonal/>
    </border>
    <border>
      <left style="thick">
        <color rgb="FF0054A4"/>
      </left>
      <right/>
      <top style="thick">
        <color rgb="FF0054A4"/>
      </top>
      <bottom/>
      <diagonal/>
    </border>
    <border>
      <left/>
      <right/>
      <top style="thick">
        <color rgb="FF0054A4"/>
      </top>
      <bottom/>
      <diagonal/>
    </border>
    <border>
      <left/>
      <right style="thick">
        <color rgb="FF0054A4"/>
      </right>
      <top style="thick">
        <color rgb="FF0054A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100">
    <xf numFmtId="0" fontId="0" fillId="0" borderId="0" xfId="0"/>
    <xf numFmtId="0" fontId="4" fillId="0" borderId="0" xfId="0" applyFont="1" applyAlignment="1">
      <alignment horizontal="center"/>
    </xf>
    <xf numFmtId="0" fontId="0" fillId="0" borderId="0" xfId="0" applyAlignment="1">
      <alignment horizontal="left" indent="2"/>
    </xf>
    <xf numFmtId="0" fontId="4" fillId="0" borderId="0" xfId="0" applyFont="1"/>
    <xf numFmtId="0" fontId="0" fillId="0" borderId="0" xfId="0" applyAlignment="1">
      <alignment horizontal="left" indent="5"/>
    </xf>
    <xf numFmtId="0" fontId="5" fillId="0" borderId="0" xfId="0" applyFont="1"/>
    <xf numFmtId="0" fontId="5" fillId="0" borderId="0" xfId="0" applyFont="1" applyAlignment="1">
      <alignment horizontal="left" wrapText="1"/>
    </xf>
    <xf numFmtId="0" fontId="7" fillId="0" borderId="0" xfId="0" applyFont="1" applyAlignment="1">
      <alignment horizontal="center"/>
    </xf>
    <xf numFmtId="169" fontId="8" fillId="0" borderId="23" xfId="1" applyNumberFormat="1" applyFont="1" applyBorder="1" applyProtection="1">
      <protection locked="0"/>
    </xf>
    <xf numFmtId="169" fontId="8" fillId="0" borderId="22" xfId="1" applyNumberFormat="1" applyFont="1" applyBorder="1" applyProtection="1">
      <protection locked="0"/>
    </xf>
    <xf numFmtId="169" fontId="8" fillId="0" borderId="23" xfId="1" applyNumberFormat="1" applyFont="1" applyBorder="1" applyProtection="1"/>
    <xf numFmtId="168" fontId="8" fillId="0" borderId="22" xfId="1" applyNumberFormat="1" applyFont="1" applyBorder="1" applyProtection="1">
      <protection locked="0"/>
    </xf>
    <xf numFmtId="0" fontId="7" fillId="0" borderId="0" xfId="0" applyFont="1" applyAlignment="1">
      <alignment horizontal="left" indent="5"/>
    </xf>
    <xf numFmtId="44" fontId="7" fillId="0" borderId="0" xfId="4" applyFont="1" applyFill="1"/>
    <xf numFmtId="0" fontId="7" fillId="2" borderId="0" xfId="0" applyFont="1" applyFill="1"/>
    <xf numFmtId="0" fontId="5" fillId="2" borderId="0" xfId="0" applyFont="1" applyFill="1"/>
    <xf numFmtId="44" fontId="7" fillId="2" borderId="0" xfId="4" applyFont="1" applyFill="1"/>
    <xf numFmtId="0" fontId="7" fillId="0" borderId="0" xfId="0" applyFont="1"/>
    <xf numFmtId="167" fontId="7" fillId="2" borderId="0" xfId="4" applyNumberFormat="1" applyFont="1" applyFill="1"/>
    <xf numFmtId="0" fontId="10" fillId="0" borderId="0" xfId="0" applyFont="1" applyAlignment="1">
      <alignment horizontal="center"/>
    </xf>
    <xf numFmtId="0" fontId="10" fillId="0" borderId="0" xfId="0" applyFont="1"/>
    <xf numFmtId="0" fontId="11" fillId="0" borderId="0" xfId="0" applyFont="1" applyAlignment="1">
      <alignment horizontal="center"/>
    </xf>
    <xf numFmtId="0" fontId="10" fillId="0" borderId="0" xfId="0" applyFont="1" applyAlignment="1">
      <alignment horizontal="left" indent="2"/>
    </xf>
    <xf numFmtId="0" fontId="11" fillId="0" borderId="0" xfId="0" applyFont="1"/>
    <xf numFmtId="0" fontId="13" fillId="0" borderId="8" xfId="0" applyFont="1" applyBorder="1"/>
    <xf numFmtId="0" fontId="13" fillId="0" borderId="1" xfId="0" applyFont="1" applyBorder="1"/>
    <xf numFmtId="0" fontId="12" fillId="0" borderId="1" xfId="0" applyFont="1" applyBorder="1"/>
    <xf numFmtId="0" fontId="12" fillId="0" borderId="2" xfId="0" applyFont="1" applyBorder="1"/>
    <xf numFmtId="0" fontId="13" fillId="0" borderId="27" xfId="0" applyFont="1" applyBorder="1" applyAlignment="1">
      <alignment horizontal="left" indent="2"/>
    </xf>
    <xf numFmtId="0" fontId="12" fillId="0" borderId="28" xfId="0" applyFont="1" applyBorder="1"/>
    <xf numFmtId="44" fontId="12" fillId="0" borderId="29" xfId="4" applyFont="1" applyBorder="1"/>
    <xf numFmtId="0" fontId="12" fillId="0" borderId="30" xfId="0" applyFont="1" applyBorder="1"/>
    <xf numFmtId="0" fontId="12" fillId="0" borderId="0" xfId="0" applyFont="1"/>
    <xf numFmtId="44" fontId="12" fillId="0" borderId="0" xfId="4" applyFont="1" applyFill="1" applyBorder="1"/>
    <xf numFmtId="164" fontId="12" fillId="0" borderId="31" xfId="0" applyNumberFormat="1" applyFont="1" applyBorder="1"/>
    <xf numFmtId="0" fontId="13" fillId="0" borderId="30" xfId="0" applyFont="1" applyBorder="1" applyAlignment="1">
      <alignment horizontal="left" indent="2"/>
    </xf>
    <xf numFmtId="165" fontId="12" fillId="0" borderId="0" xfId="0" applyNumberFormat="1" applyFont="1"/>
    <xf numFmtId="0" fontId="12" fillId="0" borderId="30" xfId="0" applyFont="1" applyBorder="1" applyAlignment="1">
      <alignment horizontal="left"/>
    </xf>
    <xf numFmtId="0" fontId="13" fillId="0" borderId="30" xfId="0" applyFont="1" applyBorder="1" applyAlignment="1">
      <alignment horizontal="left"/>
    </xf>
    <xf numFmtId="44" fontId="12" fillId="0" borderId="0" xfId="0" applyNumberFormat="1" applyFont="1"/>
    <xf numFmtId="0" fontId="12" fillId="0" borderId="30" xfId="0" applyFont="1" applyBorder="1" applyAlignment="1">
      <alignment horizontal="left" indent="4"/>
    </xf>
    <xf numFmtId="44" fontId="12" fillId="0" borderId="31" xfId="4" applyFont="1" applyBorder="1"/>
    <xf numFmtId="166" fontId="12" fillId="0" borderId="0" xfId="4" applyNumberFormat="1" applyFont="1" applyFill="1" applyBorder="1"/>
    <xf numFmtId="166" fontId="12" fillId="0" borderId="0" xfId="0" applyNumberFormat="1" applyFont="1"/>
    <xf numFmtId="170" fontId="12" fillId="0" borderId="0" xfId="0" applyNumberFormat="1" applyFont="1"/>
    <xf numFmtId="0" fontId="13" fillId="0" borderId="30" xfId="0" applyFont="1" applyBorder="1" applyAlignment="1">
      <alignment horizontal="left" indent="4"/>
    </xf>
    <xf numFmtId="0" fontId="13" fillId="0" borderId="0" xfId="0" applyFont="1"/>
    <xf numFmtId="0" fontId="14" fillId="0" borderId="0" xfId="0" applyFont="1"/>
    <xf numFmtId="171" fontId="12" fillId="0" borderId="0" xfId="8" applyNumberFormat="1" applyFont="1" applyFill="1" applyBorder="1"/>
    <xf numFmtId="172" fontId="12" fillId="0" borderId="0" xfId="8" applyNumberFormat="1" applyFont="1" applyFill="1" applyBorder="1"/>
    <xf numFmtId="164" fontId="12" fillId="0" borderId="0" xfId="8" applyNumberFormat="1" applyFont="1" applyFill="1" applyBorder="1"/>
    <xf numFmtId="0" fontId="12" fillId="0" borderId="30" xfId="0" applyFont="1" applyBorder="1" applyAlignment="1">
      <alignment horizontal="left" indent="2"/>
    </xf>
    <xf numFmtId="44" fontId="12" fillId="0" borderId="31" xfId="4" applyFont="1" applyBorder="1" applyAlignment="1"/>
    <xf numFmtId="0" fontId="13" fillId="0" borderId="30" xfId="0" applyFont="1" applyBorder="1"/>
    <xf numFmtId="164" fontId="12" fillId="0" borderId="31" xfId="4" applyNumberFormat="1" applyFont="1" applyBorder="1"/>
    <xf numFmtId="0" fontId="13" fillId="0" borderId="32" xfId="0" applyFont="1" applyBorder="1"/>
    <xf numFmtId="0" fontId="13" fillId="0" borderId="33" xfId="0" applyFont="1" applyBorder="1"/>
    <xf numFmtId="0" fontId="12" fillId="0" borderId="33" xfId="0" applyFont="1" applyBorder="1"/>
    <xf numFmtId="164" fontId="13" fillId="0" borderId="34" xfId="4" applyNumberFormat="1" applyFont="1" applyBorder="1"/>
    <xf numFmtId="44" fontId="13" fillId="0" borderId="0" xfId="4" applyFont="1"/>
    <xf numFmtId="0" fontId="15" fillId="3" borderId="9" xfId="0" applyFont="1" applyFill="1" applyBorder="1"/>
    <xf numFmtId="0" fontId="15" fillId="3" borderId="10" xfId="0" applyFont="1" applyFill="1" applyBorder="1"/>
    <xf numFmtId="0" fontId="16" fillId="3" borderId="10" xfId="0" applyFont="1" applyFill="1" applyBorder="1"/>
    <xf numFmtId="44" fontId="16" fillId="3" borderId="11" xfId="4" applyFont="1" applyFill="1" applyBorder="1"/>
    <xf numFmtId="0" fontId="12" fillId="0" borderId="9" xfId="0" applyFont="1" applyBorder="1" applyAlignment="1">
      <alignment horizontal="left" indent="4"/>
    </xf>
    <xf numFmtId="0" fontId="12" fillId="0" borderId="10" xfId="0" applyFont="1" applyBorder="1"/>
    <xf numFmtId="44" fontId="12" fillId="0" borderId="11" xfId="4" applyFont="1" applyBorder="1"/>
    <xf numFmtId="0" fontId="13" fillId="0" borderId="13" xfId="0" applyFont="1" applyBorder="1" applyAlignment="1">
      <alignment horizontal="left" indent="4"/>
    </xf>
    <xf numFmtId="44" fontId="12" fillId="0" borderId="12" xfId="4" applyFont="1" applyBorder="1"/>
    <xf numFmtId="0" fontId="12" fillId="0" borderId="13" xfId="0" applyFont="1" applyBorder="1"/>
    <xf numFmtId="0" fontId="13" fillId="0" borderId="14" xfId="0" applyFont="1" applyBorder="1"/>
    <xf numFmtId="0" fontId="13" fillId="0" borderId="15" xfId="0" applyFont="1" applyBorder="1"/>
    <xf numFmtId="166" fontId="13" fillId="0" borderId="15" xfId="0" applyNumberFormat="1" applyFont="1" applyBorder="1"/>
    <xf numFmtId="44" fontId="13" fillId="0" borderId="16" xfId="4" applyFont="1" applyBorder="1"/>
    <xf numFmtId="0" fontId="13" fillId="0" borderId="3" xfId="0" applyFont="1" applyBorder="1"/>
    <xf numFmtId="166" fontId="13" fillId="0" borderId="0" xfId="0" applyNumberFormat="1" applyFont="1"/>
    <xf numFmtId="44" fontId="13" fillId="0" borderId="4" xfId="4" applyFont="1" applyBorder="1"/>
    <xf numFmtId="0" fontId="13" fillId="0" borderId="5" xfId="0" applyFont="1" applyBorder="1"/>
    <xf numFmtId="0" fontId="13" fillId="0" borderId="6" xfId="0" applyFont="1" applyBorder="1"/>
    <xf numFmtId="44" fontId="13" fillId="0" borderId="7" xfId="4" applyFont="1" applyBorder="1"/>
    <xf numFmtId="44" fontId="12" fillId="0" borderId="0" xfId="4" applyFont="1"/>
    <xf numFmtId="0" fontId="12" fillId="0" borderId="17" xfId="0" applyFont="1" applyBorder="1"/>
    <xf numFmtId="0" fontId="12" fillId="0" borderId="18" xfId="0" applyFont="1" applyBorder="1"/>
    <xf numFmtId="0" fontId="13" fillId="0" borderId="17" xfId="0" applyFont="1" applyBorder="1"/>
    <xf numFmtId="0" fontId="13" fillId="0" borderId="0" xfId="0" applyFont="1" applyAlignment="1">
      <alignment horizontal="left"/>
    </xf>
    <xf numFmtId="0" fontId="12" fillId="0" borderId="17" xfId="0" applyFont="1" applyBorder="1" applyAlignment="1">
      <alignment horizontal="left" indent="5"/>
    </xf>
    <xf numFmtId="44" fontId="12" fillId="0" borderId="18" xfId="4" applyFont="1" applyFill="1" applyBorder="1"/>
    <xf numFmtId="0" fontId="13" fillId="0" borderId="17" xfId="0" applyFont="1" applyBorder="1" applyAlignment="1">
      <alignment horizontal="left" indent="5"/>
    </xf>
    <xf numFmtId="44" fontId="13" fillId="0" borderId="18" xfId="4" applyFont="1" applyFill="1" applyBorder="1"/>
    <xf numFmtId="0" fontId="12" fillId="0" borderId="17" xfId="0" applyFont="1" applyBorder="1" applyAlignment="1">
      <alignment horizontal="left" indent="13"/>
    </xf>
    <xf numFmtId="0" fontId="13" fillId="0" borderId="17" xfId="0" applyFont="1" applyBorder="1" applyAlignment="1">
      <alignment horizontal="left"/>
    </xf>
    <xf numFmtId="0" fontId="13" fillId="0" borderId="20" xfId="0" applyFont="1" applyBorder="1" applyAlignment="1">
      <alignment horizontal="left" indent="5"/>
    </xf>
    <xf numFmtId="0" fontId="12" fillId="0" borderId="19" xfId="0" applyFont="1" applyBorder="1"/>
    <xf numFmtId="44" fontId="13" fillId="0" borderId="21" xfId="4" applyFont="1" applyFill="1" applyBorder="1"/>
    <xf numFmtId="0" fontId="5" fillId="0" borderId="0" xfId="0" applyFont="1" applyAlignment="1">
      <alignment horizontal="left" wrapText="1"/>
    </xf>
    <xf numFmtId="0" fontId="15" fillId="4" borderId="24" xfId="0" applyFont="1" applyFill="1" applyBorder="1" applyAlignment="1">
      <alignment horizontal="center"/>
    </xf>
    <xf numFmtId="0" fontId="15" fillId="4" borderId="25" xfId="0" applyFont="1" applyFill="1" applyBorder="1" applyAlignment="1">
      <alignment horizontal="center"/>
    </xf>
    <xf numFmtId="0" fontId="15" fillId="4" borderId="26" xfId="0" applyFont="1" applyFill="1" applyBorder="1" applyAlignment="1">
      <alignment horizontal="center"/>
    </xf>
    <xf numFmtId="0" fontId="9" fillId="0" borderId="0" xfId="0" applyFont="1" applyAlignment="1">
      <alignment horizontal="center"/>
    </xf>
    <xf numFmtId="0" fontId="6" fillId="0" borderId="0" xfId="0" applyFont="1" applyAlignment="1">
      <alignment horizontal="left" vertical="top" wrapText="1"/>
    </xf>
  </cellXfs>
  <cellStyles count="11">
    <cellStyle name="Comma" xfId="1" builtinId="3"/>
    <cellStyle name="Comma 2" xfId="2" xr:uid="{00000000-0005-0000-0000-000001000000}"/>
    <cellStyle name="Comma 3" xfId="3" xr:uid="{00000000-0005-0000-0000-000002000000}"/>
    <cellStyle name="Currency" xfId="4" builtinId="4"/>
    <cellStyle name="Currency 2" xfId="5" xr:uid="{00000000-0005-0000-0000-000004000000}"/>
    <cellStyle name="Currency 3" xfId="6" xr:uid="{00000000-0005-0000-0000-000005000000}"/>
    <cellStyle name="Normal" xfId="0" builtinId="0"/>
    <cellStyle name="Normal 2" xfId="7" xr:uid="{00000000-0005-0000-0000-000007000000}"/>
    <cellStyle name="Percent" xfId="8" builtinId="5"/>
    <cellStyle name="Percent 2" xfId="9" xr:uid="{00000000-0005-0000-0000-000009000000}"/>
    <cellStyle name="Percent 3" xfId="10" xr:uid="{00000000-0005-0000-0000-00000A000000}"/>
  </cellStyles>
  <dxfs count="11">
    <dxf>
      <font>
        <color rgb="FFFF0000"/>
      </font>
    </dxf>
    <dxf>
      <font>
        <color rgb="FF9C0006"/>
      </font>
    </dxf>
    <dxf>
      <font>
        <color rgb="FFFF0000"/>
      </font>
      <fill>
        <patternFill patternType="none">
          <bgColor indexed="65"/>
        </patternFill>
      </fill>
    </dxf>
    <dxf>
      <font>
        <color rgb="FFFF0000"/>
      </font>
    </dxf>
    <dxf>
      <font>
        <color rgb="FFFF0000"/>
      </font>
    </dxf>
    <dxf>
      <font>
        <color rgb="FFFF0000"/>
      </font>
    </dxf>
    <dxf>
      <font>
        <color rgb="FF9C0006"/>
      </font>
    </dxf>
    <dxf>
      <font>
        <color rgb="FFFF0000"/>
      </font>
      <fill>
        <patternFill patternType="none">
          <bgColor indexed="65"/>
        </patternFill>
      </fill>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6"/>
  <sheetViews>
    <sheetView showGridLines="0" showRowColHeaders="0" tabSelected="1" showRuler="0" view="pageLayout" zoomScale="80" zoomScaleNormal="80" zoomScaleSheetLayoutView="100" zoomScalePageLayoutView="80" workbookViewId="0">
      <selection activeCell="B14" sqref="B14"/>
    </sheetView>
  </sheetViews>
  <sheetFormatPr defaultColWidth="9.140625" defaultRowHeight="15.75" x14ac:dyDescent="0.25"/>
  <cols>
    <col min="1" max="1" width="36.42578125" style="20" customWidth="1"/>
    <col min="2" max="2" width="50" style="20" customWidth="1"/>
    <col min="3" max="3" width="32" style="20" customWidth="1"/>
    <col min="4" max="4" width="25.28515625" style="20" customWidth="1"/>
    <col min="5" max="5" width="14.85546875" style="20" customWidth="1"/>
    <col min="6" max="6" width="1.5703125" style="20" customWidth="1"/>
    <col min="7" max="16384" width="9.140625" style="20"/>
  </cols>
  <sheetData>
    <row r="1" spans="1:5" x14ac:dyDescent="0.25">
      <c r="A1" s="98" t="s">
        <v>43</v>
      </c>
      <c r="B1" s="98"/>
      <c r="C1" s="98"/>
      <c r="D1" s="98"/>
      <c r="E1" s="19"/>
    </row>
    <row r="2" spans="1:5" x14ac:dyDescent="0.25">
      <c r="A2" s="98" t="s">
        <v>36</v>
      </c>
      <c r="B2" s="98"/>
      <c r="C2" s="98"/>
      <c r="D2" s="98"/>
      <c r="E2" s="21"/>
    </row>
    <row r="3" spans="1:5" x14ac:dyDescent="0.25">
      <c r="A3" s="5"/>
      <c r="B3" s="5"/>
      <c r="C3" s="5"/>
      <c r="D3" s="5"/>
    </row>
    <row r="4" spans="1:5" x14ac:dyDescent="0.25">
      <c r="A4" s="5" t="s">
        <v>0</v>
      </c>
      <c r="B4" s="5"/>
      <c r="C4" s="5"/>
      <c r="D4" s="5"/>
    </row>
    <row r="5" spans="1:5" ht="28.5" customHeight="1" x14ac:dyDescent="0.25">
      <c r="A5" s="94" t="s">
        <v>44</v>
      </c>
      <c r="B5" s="94"/>
      <c r="C5" s="94"/>
      <c r="D5" s="94"/>
      <c r="E5" s="22"/>
    </row>
    <row r="6" spans="1:5" ht="15" customHeight="1" x14ac:dyDescent="0.25">
      <c r="A6" s="94" t="s">
        <v>45</v>
      </c>
      <c r="B6" s="94"/>
      <c r="C6" s="94"/>
      <c r="D6" s="94"/>
      <c r="E6" s="22"/>
    </row>
    <row r="7" spans="1:5" ht="15" customHeight="1" x14ac:dyDescent="0.25">
      <c r="A7" s="6"/>
      <c r="B7" s="6"/>
      <c r="C7" s="6"/>
      <c r="D7" s="6"/>
      <c r="E7" s="22"/>
    </row>
    <row r="8" spans="1:5" ht="15" customHeight="1" x14ac:dyDescent="0.25">
      <c r="A8" s="6"/>
      <c r="B8" s="6"/>
      <c r="C8" s="6"/>
      <c r="D8" s="6"/>
      <c r="E8" s="22"/>
    </row>
    <row r="9" spans="1:5" ht="29.25" customHeight="1" x14ac:dyDescent="0.25">
      <c r="A9" s="94" t="s">
        <v>46</v>
      </c>
      <c r="B9" s="94"/>
      <c r="C9" s="94"/>
      <c r="D9" s="94"/>
      <c r="E9" s="22"/>
    </row>
    <row r="10" spans="1:5" ht="29.25" customHeight="1" x14ac:dyDescent="0.25">
      <c r="A10" s="6"/>
      <c r="B10" s="6"/>
      <c r="C10" s="6"/>
      <c r="D10" s="6"/>
      <c r="E10" s="22"/>
    </row>
    <row r="11" spans="1:5" ht="27.75" customHeight="1" x14ac:dyDescent="0.25">
      <c r="A11" s="94" t="s">
        <v>37</v>
      </c>
      <c r="B11" s="94"/>
      <c r="C11" s="94"/>
      <c r="D11" s="94"/>
    </row>
    <row r="12" spans="1:5" x14ac:dyDescent="0.25">
      <c r="A12" s="94" t="s">
        <v>47</v>
      </c>
      <c r="B12" s="94"/>
      <c r="C12" s="94"/>
      <c r="D12" s="94"/>
    </row>
    <row r="13" spans="1:5" ht="16.5" thickBot="1" x14ac:dyDescent="0.3">
      <c r="A13" s="5"/>
      <c r="B13" s="7" t="s">
        <v>26</v>
      </c>
      <c r="C13" s="5"/>
      <c r="D13" s="5"/>
    </row>
    <row r="14" spans="1:5" ht="16.5" thickBot="1" x14ac:dyDescent="0.3">
      <c r="A14" s="5" t="s">
        <v>1</v>
      </c>
      <c r="B14" s="8">
        <v>3000000</v>
      </c>
      <c r="C14" s="5"/>
      <c r="D14" s="5"/>
    </row>
    <row r="15" spans="1:5" ht="16.5" thickBot="1" x14ac:dyDescent="0.3">
      <c r="A15" s="5" t="s">
        <v>8</v>
      </c>
      <c r="B15" s="11">
        <v>3000</v>
      </c>
      <c r="C15" s="5"/>
      <c r="D15" s="5"/>
    </row>
    <row r="16" spans="1:5" ht="16.5" thickBot="1" x14ac:dyDescent="0.3">
      <c r="A16" s="5" t="s">
        <v>12</v>
      </c>
      <c r="B16" s="11">
        <v>1453</v>
      </c>
      <c r="C16" s="5"/>
      <c r="D16" s="5"/>
      <c r="E16" s="23"/>
    </row>
    <row r="17" spans="1:5" x14ac:dyDescent="0.25">
      <c r="A17" s="5"/>
      <c r="B17" s="12"/>
      <c r="C17" s="5"/>
      <c r="D17" s="13"/>
      <c r="E17" s="23"/>
    </row>
    <row r="18" spans="1:5" x14ac:dyDescent="0.25">
      <c r="A18" s="5"/>
      <c r="B18" s="14" t="s">
        <v>24</v>
      </c>
      <c r="C18" s="15"/>
      <c r="D18" s="16">
        <f>D89+D79</f>
        <v>336555.15199546004</v>
      </c>
      <c r="E18" s="23"/>
    </row>
    <row r="19" spans="1:5" ht="7.5" customHeight="1" x14ac:dyDescent="0.25">
      <c r="A19" s="5"/>
      <c r="B19" s="17"/>
      <c r="C19" s="5"/>
      <c r="D19" s="13"/>
      <c r="E19" s="23"/>
    </row>
    <row r="20" spans="1:5" x14ac:dyDescent="0.25">
      <c r="A20" s="5"/>
      <c r="B20" s="14" t="s">
        <v>25</v>
      </c>
      <c r="C20" s="15"/>
      <c r="D20" s="18">
        <f>$D$89/$B$14</f>
        <v>0.10420980000000001</v>
      </c>
      <c r="E20" s="23"/>
    </row>
    <row r="21" spans="1:5" ht="7.5" customHeight="1" thickBot="1" x14ac:dyDescent="0.3">
      <c r="A21" s="5"/>
      <c r="B21" s="5"/>
      <c r="C21" s="5"/>
      <c r="D21" s="5"/>
    </row>
    <row r="22" spans="1:5" ht="16.5" thickTop="1" x14ac:dyDescent="0.25">
      <c r="A22" s="24" t="s">
        <v>48</v>
      </c>
      <c r="B22" s="25"/>
      <c r="C22" s="26"/>
      <c r="D22" s="27"/>
    </row>
    <row r="23" spans="1:5" x14ac:dyDescent="0.25">
      <c r="A23" s="28" t="s">
        <v>41</v>
      </c>
      <c r="B23" s="29"/>
      <c r="C23" s="29"/>
      <c r="D23" s="30">
        <f>ROUND(C24,2)</f>
        <v>433.57</v>
      </c>
    </row>
    <row r="24" spans="1:5" x14ac:dyDescent="0.25">
      <c r="A24" s="31"/>
      <c r="B24" s="32" t="s">
        <v>2</v>
      </c>
      <c r="C24" s="33">
        <v>433.57</v>
      </c>
      <c r="D24" s="34"/>
    </row>
    <row r="25" spans="1:5" x14ac:dyDescent="0.25">
      <c r="A25" s="35" t="s">
        <v>17</v>
      </c>
      <c r="B25" s="32"/>
      <c r="C25" s="36"/>
      <c r="D25" s="34"/>
    </row>
    <row r="26" spans="1:5" x14ac:dyDescent="0.25">
      <c r="A26" s="37" t="s">
        <v>55</v>
      </c>
      <c r="B26" s="32"/>
      <c r="C26" s="36"/>
      <c r="D26" s="34">
        <f>ROUND(C27,2)</f>
        <v>610.26</v>
      </c>
    </row>
    <row r="27" spans="1:5" x14ac:dyDescent="0.25">
      <c r="A27" s="38"/>
      <c r="B27" s="32" t="s">
        <v>2</v>
      </c>
      <c r="C27" s="39">
        <v>610.26</v>
      </c>
      <c r="D27" s="34"/>
    </row>
    <row r="28" spans="1:5" x14ac:dyDescent="0.25">
      <c r="A28" s="35"/>
      <c r="B28" s="32"/>
      <c r="C28" s="36"/>
      <c r="D28" s="34"/>
    </row>
    <row r="29" spans="1:5" x14ac:dyDescent="0.25">
      <c r="A29" s="37" t="s">
        <v>64</v>
      </c>
      <c r="B29" s="32"/>
      <c r="C29" s="36"/>
      <c r="D29" s="41">
        <f>IF(B14&lt;833000,ROUND(C30*$B$14,2),ROUND(((833000)*C30)+((B14-833000)*C31),2))</f>
        <v>2463.0300000000002</v>
      </c>
    </row>
    <row r="30" spans="1:5" x14ac:dyDescent="0.25">
      <c r="A30" s="37"/>
      <c r="B30" s="32" t="s">
        <v>30</v>
      </c>
      <c r="C30" s="42">
        <v>1.474E-3</v>
      </c>
      <c r="D30" s="41"/>
    </row>
    <row r="31" spans="1:5" x14ac:dyDescent="0.25">
      <c r="A31" s="37"/>
      <c r="B31" s="32" t="s">
        <v>31</v>
      </c>
      <c r="C31" s="42">
        <v>5.6999999999999998E-4</v>
      </c>
      <c r="D31" s="41"/>
    </row>
    <row r="32" spans="1:5" x14ac:dyDescent="0.25">
      <c r="A32" s="37"/>
      <c r="B32" s="32"/>
      <c r="C32" s="32"/>
      <c r="D32" s="41"/>
    </row>
    <row r="33" spans="1:5" x14ac:dyDescent="0.25">
      <c r="A33" s="37" t="s">
        <v>65</v>
      </c>
      <c r="B33" s="32"/>
      <c r="C33" s="32"/>
      <c r="D33" s="41">
        <f>IF(B14&lt;=833000,ROUND(C34*$B$14,2),833000*C34)</f>
        <v>241.99982800000001</v>
      </c>
    </row>
    <row r="34" spans="1:5" x14ac:dyDescent="0.25">
      <c r="A34" s="37"/>
      <c r="B34" s="32" t="s">
        <v>30</v>
      </c>
      <c r="C34" s="43">
        <v>2.9051599999999999E-4</v>
      </c>
      <c r="D34" s="41"/>
    </row>
    <row r="35" spans="1:5" x14ac:dyDescent="0.25">
      <c r="A35" s="37"/>
      <c r="B35" s="32"/>
      <c r="C35" s="44"/>
      <c r="D35" s="41"/>
    </row>
    <row r="36" spans="1:5" x14ac:dyDescent="0.25">
      <c r="A36" s="37" t="s">
        <v>66</v>
      </c>
      <c r="B36" s="32"/>
      <c r="C36" s="32"/>
      <c r="D36" s="41">
        <f>ROUND(C37*$B$14,2)</f>
        <v>0</v>
      </c>
    </row>
    <row r="37" spans="1:5" x14ac:dyDescent="0.25">
      <c r="A37" s="37"/>
      <c r="B37" s="32" t="s">
        <v>3</v>
      </c>
      <c r="C37" s="43">
        <v>0</v>
      </c>
      <c r="D37" s="34"/>
    </row>
    <row r="38" spans="1:5" x14ac:dyDescent="0.25">
      <c r="A38" s="37"/>
      <c r="B38" s="32"/>
      <c r="C38" s="32"/>
      <c r="D38" s="34"/>
    </row>
    <row r="39" spans="1:5" x14ac:dyDescent="0.25">
      <c r="A39" s="37" t="s">
        <v>67</v>
      </c>
      <c r="B39" s="32"/>
      <c r="C39" s="32"/>
      <c r="D39" s="41">
        <f>ROUND(C40*$B$14,2)</f>
        <v>0</v>
      </c>
    </row>
    <row r="40" spans="1:5" x14ac:dyDescent="0.25">
      <c r="A40" s="37"/>
      <c r="B40" s="32" t="s">
        <v>3</v>
      </c>
      <c r="C40" s="43">
        <v>0</v>
      </c>
      <c r="D40" s="41"/>
    </row>
    <row r="41" spans="1:5" x14ac:dyDescent="0.25">
      <c r="A41" s="37"/>
      <c r="B41" s="32"/>
      <c r="C41" s="43"/>
      <c r="D41" s="41"/>
    </row>
    <row r="42" spans="1:5" x14ac:dyDescent="0.25">
      <c r="A42" s="37" t="s">
        <v>68</v>
      </c>
      <c r="B42" s="32"/>
      <c r="C42" s="42"/>
      <c r="D42" s="41">
        <f>IF(B14&gt;833000,ROUND(833000*C43,2),ROUND(C43*$B$14,2))</f>
        <v>1499.98</v>
      </c>
      <c r="E42" s="23"/>
    </row>
    <row r="43" spans="1:5" x14ac:dyDescent="0.25">
      <c r="A43" s="37"/>
      <c r="B43" s="32" t="s">
        <v>30</v>
      </c>
      <c r="C43" s="42">
        <v>1.8006999999999999E-3</v>
      </c>
      <c r="D43" s="34"/>
      <c r="E43" s="23"/>
    </row>
    <row r="44" spans="1:5" x14ac:dyDescent="0.25">
      <c r="A44" s="37"/>
      <c r="B44" s="32"/>
      <c r="C44" s="42"/>
      <c r="D44" s="34"/>
      <c r="E44" s="23"/>
    </row>
    <row r="45" spans="1:5" x14ac:dyDescent="0.25">
      <c r="A45" s="37" t="s">
        <v>69</v>
      </c>
      <c r="B45" s="32"/>
      <c r="C45" s="32"/>
      <c r="D45" s="41">
        <f>IF($B$14&lt;2001,ROUND($B$14*C46,2),IF($B$14&gt;15000,ROUND(2000*C46,2)+ROUND(13000*C47,2)+ROUND(($B$14-15000)*C48,2),ROUND(2000*C46,2)+ROUND(($B$14-2000)*C47,2)))</f>
        <v>10899.32</v>
      </c>
    </row>
    <row r="46" spans="1:5" x14ac:dyDescent="0.25">
      <c r="A46" s="37"/>
      <c r="B46" s="32" t="s">
        <v>5</v>
      </c>
      <c r="C46" s="43">
        <v>4.6499999999999996E-3</v>
      </c>
      <c r="D46" s="34"/>
      <c r="E46" s="23"/>
    </row>
    <row r="47" spans="1:5" x14ac:dyDescent="0.25">
      <c r="A47" s="37"/>
      <c r="B47" s="32" t="s">
        <v>6</v>
      </c>
      <c r="C47" s="43">
        <v>4.1900000000000001E-3</v>
      </c>
      <c r="D47" s="34"/>
    </row>
    <row r="48" spans="1:5" x14ac:dyDescent="0.25">
      <c r="A48" s="37"/>
      <c r="B48" s="32" t="s">
        <v>7</v>
      </c>
      <c r="C48" s="43">
        <v>3.63E-3</v>
      </c>
      <c r="D48" s="34"/>
    </row>
    <row r="49" spans="1:4" x14ac:dyDescent="0.25">
      <c r="A49" s="37"/>
      <c r="B49" s="46"/>
      <c r="C49" s="32"/>
      <c r="D49" s="34"/>
    </row>
    <row r="50" spans="1:4" x14ac:dyDescent="0.25">
      <c r="A50" s="37" t="s">
        <v>70</v>
      </c>
      <c r="B50" s="32"/>
      <c r="C50" s="32"/>
      <c r="D50" s="34">
        <f>ROUND(C51*(D23),2)</f>
        <v>36.049999999999997</v>
      </c>
    </row>
    <row r="51" spans="1:4" x14ac:dyDescent="0.25">
      <c r="A51" s="37"/>
      <c r="B51" s="47" t="s">
        <v>29</v>
      </c>
      <c r="C51" s="48">
        <v>8.3150000000000002E-2</v>
      </c>
      <c r="D51" s="34"/>
    </row>
    <row r="52" spans="1:4" x14ac:dyDescent="0.25">
      <c r="A52" s="37"/>
      <c r="B52" s="32"/>
      <c r="C52" s="32"/>
      <c r="D52" s="34"/>
    </row>
    <row r="53" spans="1:4" x14ac:dyDescent="0.25">
      <c r="A53" s="37" t="s">
        <v>57</v>
      </c>
      <c r="B53" s="47"/>
      <c r="C53" s="49"/>
      <c r="D53" s="41">
        <f>ROUND(C54*$B$14,2)</f>
        <v>0</v>
      </c>
    </row>
    <row r="54" spans="1:4" x14ac:dyDescent="0.25">
      <c r="A54" s="37"/>
      <c r="B54" s="32" t="s">
        <v>3</v>
      </c>
      <c r="C54" s="50">
        <v>0</v>
      </c>
      <c r="D54" s="34"/>
    </row>
    <row r="55" spans="1:4" x14ac:dyDescent="0.25">
      <c r="A55" s="37"/>
      <c r="B55" s="32"/>
      <c r="C55" s="32"/>
      <c r="D55" s="34"/>
    </row>
    <row r="56" spans="1:4" x14ac:dyDescent="0.25">
      <c r="A56" s="37" t="s">
        <v>56</v>
      </c>
      <c r="B56" s="32"/>
      <c r="C56" s="32"/>
      <c r="D56" s="34">
        <f>ROUND(C57*(D23),2)</f>
        <v>0</v>
      </c>
    </row>
    <row r="57" spans="1:4" x14ac:dyDescent="0.25">
      <c r="A57" s="37"/>
      <c r="B57" s="32" t="s">
        <v>2</v>
      </c>
      <c r="C57" s="50">
        <v>0</v>
      </c>
      <c r="D57" s="34"/>
    </row>
    <row r="58" spans="1:4" x14ac:dyDescent="0.25">
      <c r="A58" s="37"/>
      <c r="B58" s="32"/>
      <c r="C58" s="50"/>
      <c r="D58" s="34"/>
    </row>
    <row r="59" spans="1:4" x14ac:dyDescent="0.25">
      <c r="A59" s="37" t="s">
        <v>62</v>
      </c>
      <c r="B59" s="32"/>
      <c r="C59" s="50"/>
      <c r="D59" s="34">
        <f>C60*D23</f>
        <v>45.862167459999995</v>
      </c>
    </row>
    <row r="60" spans="1:4" x14ac:dyDescent="0.25">
      <c r="A60" s="37"/>
      <c r="B60" s="47" t="s">
        <v>29</v>
      </c>
      <c r="C60" s="49">
        <v>0.105778</v>
      </c>
      <c r="D60" s="34"/>
    </row>
    <row r="61" spans="1:4" x14ac:dyDescent="0.25">
      <c r="A61" s="37"/>
      <c r="B61" s="32"/>
      <c r="C61" s="32"/>
      <c r="D61" s="34"/>
    </row>
    <row r="62" spans="1:4" x14ac:dyDescent="0.25">
      <c r="A62" s="37" t="s">
        <v>72</v>
      </c>
      <c r="B62" s="32"/>
      <c r="C62" s="32"/>
      <c r="D62" s="34"/>
    </row>
    <row r="63" spans="1:4" x14ac:dyDescent="0.25">
      <c r="A63" s="37"/>
      <c r="B63" s="32"/>
      <c r="C63" s="32"/>
      <c r="D63" s="34"/>
    </row>
    <row r="64" spans="1:4" x14ac:dyDescent="0.25">
      <c r="A64" s="37"/>
      <c r="B64" s="32"/>
      <c r="C64" s="32"/>
      <c r="D64" s="34"/>
    </row>
    <row r="65" spans="1:5" x14ac:dyDescent="0.25">
      <c r="A65" s="37"/>
      <c r="B65" s="32"/>
      <c r="C65" s="43"/>
      <c r="D65" s="41"/>
    </row>
    <row r="66" spans="1:5" x14ac:dyDescent="0.25">
      <c r="A66" s="37" t="s">
        <v>53</v>
      </c>
      <c r="B66" s="32"/>
      <c r="C66" s="43"/>
      <c r="D66" s="41">
        <f>ROUND(C67,2)</f>
        <v>6.34</v>
      </c>
    </row>
    <row r="67" spans="1:5" x14ac:dyDescent="0.25">
      <c r="A67" s="37"/>
      <c r="B67" s="32" t="s">
        <v>32</v>
      </c>
      <c r="C67" s="39">
        <v>6.34</v>
      </c>
      <c r="D67" s="41"/>
    </row>
    <row r="68" spans="1:5" x14ac:dyDescent="0.25">
      <c r="A68" s="37"/>
      <c r="B68" s="32"/>
      <c r="C68" s="43"/>
      <c r="D68" s="41"/>
    </row>
    <row r="69" spans="1:5" x14ac:dyDescent="0.25">
      <c r="A69" s="37" t="s">
        <v>71</v>
      </c>
      <c r="B69" s="32"/>
      <c r="C69" s="32"/>
      <c r="D69" s="41">
        <f>ROUND(C70*$B$15,2)+ROUND(C71*$B$14,2)+ROUND(C72*$B$16,2)</f>
        <v>7697.71</v>
      </c>
      <c r="E69" s="23"/>
    </row>
    <row r="70" spans="1:5" x14ac:dyDescent="0.25">
      <c r="A70" s="37"/>
      <c r="B70" s="32" t="s">
        <v>9</v>
      </c>
      <c r="C70" s="43">
        <v>1.8725019000000001</v>
      </c>
      <c r="D70" s="41"/>
    </row>
    <row r="71" spans="1:5" x14ac:dyDescent="0.25">
      <c r="A71" s="37"/>
      <c r="B71" s="32" t="s">
        <v>10</v>
      </c>
      <c r="C71" s="43">
        <v>6.9340000000000005E-4</v>
      </c>
      <c r="D71" s="41"/>
    </row>
    <row r="72" spans="1:5" x14ac:dyDescent="0.25">
      <c r="A72" s="37"/>
      <c r="B72" s="32" t="s">
        <v>11</v>
      </c>
      <c r="C72" s="43">
        <v>0</v>
      </c>
      <c r="D72" s="41"/>
    </row>
    <row r="73" spans="1:5" x14ac:dyDescent="0.25">
      <c r="A73" s="37"/>
      <c r="B73" s="32"/>
      <c r="C73" s="43"/>
      <c r="D73" s="41"/>
    </row>
    <row r="74" spans="1:5" x14ac:dyDescent="0.25">
      <c r="A74" s="37" t="s">
        <v>63</v>
      </c>
      <c r="B74" s="32"/>
      <c r="C74" s="43"/>
      <c r="D74" s="52">
        <f>ROUND((D23)*C75,2)</f>
        <v>-8.3699999999999992</v>
      </c>
    </row>
    <row r="75" spans="1:5" x14ac:dyDescent="0.25">
      <c r="A75" s="35"/>
      <c r="B75" s="32" t="s">
        <v>29</v>
      </c>
      <c r="C75" s="48">
        <v>-1.9311999999999999E-2</v>
      </c>
      <c r="D75" s="41"/>
    </row>
    <row r="76" spans="1:5" x14ac:dyDescent="0.25">
      <c r="A76" s="31"/>
      <c r="B76" s="32"/>
      <c r="C76" s="43"/>
      <c r="D76" s="41"/>
    </row>
    <row r="77" spans="1:5" x14ac:dyDescent="0.25">
      <c r="A77" s="53" t="s">
        <v>18</v>
      </c>
      <c r="B77" s="32"/>
      <c r="C77" s="43"/>
      <c r="D77" s="54">
        <f>SUM(D26:D74)</f>
        <v>23492.18199546</v>
      </c>
    </row>
    <row r="78" spans="1:5" x14ac:dyDescent="0.25">
      <c r="A78" s="35"/>
      <c r="B78" s="32"/>
      <c r="C78" s="43"/>
      <c r="D78" s="41"/>
    </row>
    <row r="79" spans="1:5" x14ac:dyDescent="0.25">
      <c r="A79" s="55" t="s">
        <v>49</v>
      </c>
      <c r="B79" s="56"/>
      <c r="C79" s="57"/>
      <c r="D79" s="58">
        <f>SUM(D77+D23)</f>
        <v>23925.751995459999</v>
      </c>
    </row>
    <row r="80" spans="1:5" x14ac:dyDescent="0.25">
      <c r="A80" s="46"/>
      <c r="B80" s="46"/>
      <c r="C80" s="32"/>
      <c r="D80" s="59"/>
    </row>
    <row r="81" spans="1:5" x14ac:dyDescent="0.25">
      <c r="A81" s="46"/>
      <c r="B81" s="46"/>
      <c r="C81" s="32"/>
      <c r="D81" s="59"/>
    </row>
    <row r="82" spans="1:5" x14ac:dyDescent="0.25">
      <c r="A82" s="46"/>
      <c r="B82" s="46"/>
      <c r="C82" s="32"/>
      <c r="D82" s="59"/>
    </row>
    <row r="83" spans="1:5" x14ac:dyDescent="0.25">
      <c r="A83" s="46"/>
      <c r="B83" s="46"/>
      <c r="C83" s="32"/>
      <c r="D83" s="59"/>
    </row>
    <row r="84" spans="1:5" ht="16.5" thickBot="1" x14ac:dyDescent="0.3">
      <c r="A84" s="46"/>
      <c r="B84" s="46"/>
      <c r="C84" s="32"/>
      <c r="D84" s="59"/>
    </row>
    <row r="85" spans="1:5" ht="17.25" thickTop="1" thickBot="1" x14ac:dyDescent="0.3">
      <c r="A85" s="60" t="s">
        <v>19</v>
      </c>
      <c r="B85" s="61"/>
      <c r="C85" s="62"/>
      <c r="D85" s="63"/>
    </row>
    <row r="86" spans="1:5" ht="16.5" thickTop="1" x14ac:dyDescent="0.25">
      <c r="A86" s="64" t="s">
        <v>27</v>
      </c>
      <c r="B86" s="65"/>
      <c r="C86" s="65"/>
      <c r="D86" s="66">
        <f>ROUND(C87*$B$14,2)</f>
        <v>312629.40000000002</v>
      </c>
    </row>
    <row r="87" spans="1:5" x14ac:dyDescent="0.25">
      <c r="A87" s="67"/>
      <c r="B87" s="32" t="s">
        <v>10</v>
      </c>
      <c r="C87" s="43">
        <v>0.10420980000000001</v>
      </c>
      <c r="D87" s="68"/>
    </row>
    <row r="88" spans="1:5" x14ac:dyDescent="0.25">
      <c r="A88" s="69"/>
      <c r="B88" s="32"/>
      <c r="C88" s="43"/>
      <c r="D88" s="68"/>
    </row>
    <row r="89" spans="1:5" ht="16.5" thickBot="1" x14ac:dyDescent="0.3">
      <c r="A89" s="70" t="s">
        <v>20</v>
      </c>
      <c r="B89" s="71"/>
      <c r="C89" s="72"/>
      <c r="D89" s="73">
        <f>SUM(D86)</f>
        <v>312629.40000000002</v>
      </c>
    </row>
    <row r="90" spans="1:5" ht="16.5" thickTop="1" x14ac:dyDescent="0.25">
      <c r="A90" s="74"/>
      <c r="B90" s="46"/>
      <c r="C90" s="75"/>
      <c r="D90" s="76"/>
    </row>
    <row r="91" spans="1:5" ht="16.5" thickBot="1" x14ac:dyDescent="0.3">
      <c r="A91" s="77" t="s">
        <v>21</v>
      </c>
      <c r="B91" s="78"/>
      <c r="C91" s="78"/>
      <c r="D91" s="79">
        <f>D89+D79</f>
        <v>336555.15199546004</v>
      </c>
    </row>
    <row r="92" spans="1:5" ht="17.25" thickTop="1" thickBot="1" x14ac:dyDescent="0.3">
      <c r="A92" s="46"/>
      <c r="B92" s="46"/>
      <c r="C92" s="32"/>
      <c r="D92" s="80"/>
      <c r="E92" s="23"/>
    </row>
    <row r="93" spans="1:5" ht="16.5" thickTop="1" x14ac:dyDescent="0.25">
      <c r="A93" s="46"/>
      <c r="B93" s="95" t="s">
        <v>50</v>
      </c>
      <c r="C93" s="96"/>
      <c r="D93" s="97"/>
    </row>
    <row r="94" spans="1:5" x14ac:dyDescent="0.25">
      <c r="A94" s="32"/>
      <c r="B94" s="81"/>
      <c r="C94" s="32"/>
      <c r="D94" s="82"/>
    </row>
    <row r="95" spans="1:5" x14ac:dyDescent="0.25">
      <c r="A95" s="32"/>
      <c r="B95" s="83" t="s">
        <v>48</v>
      </c>
      <c r="C95" s="84"/>
      <c r="D95" s="82"/>
    </row>
    <row r="96" spans="1:5" x14ac:dyDescent="0.25">
      <c r="A96" s="32"/>
      <c r="B96" s="85" t="s">
        <v>14</v>
      </c>
      <c r="C96" s="32"/>
      <c r="D96" s="86">
        <f>D23</f>
        <v>433.57</v>
      </c>
    </row>
    <row r="97" spans="1:4" x14ac:dyDescent="0.25">
      <c r="A97" s="32"/>
      <c r="B97" s="85" t="s">
        <v>22</v>
      </c>
      <c r="C97" s="32"/>
      <c r="D97" s="86">
        <f>D77</f>
        <v>23492.18199546</v>
      </c>
    </row>
    <row r="98" spans="1:4" x14ac:dyDescent="0.25">
      <c r="A98" s="32"/>
      <c r="B98" s="87" t="s">
        <v>49</v>
      </c>
      <c r="C98" s="46"/>
      <c r="D98" s="88">
        <f>D79</f>
        <v>23925.751995459999</v>
      </c>
    </row>
    <row r="99" spans="1:4" x14ac:dyDescent="0.25">
      <c r="A99" s="32"/>
      <c r="B99" s="89"/>
      <c r="C99" s="32"/>
      <c r="D99" s="86"/>
    </row>
    <row r="100" spans="1:4" x14ac:dyDescent="0.25">
      <c r="A100" s="32"/>
      <c r="B100" s="90" t="s">
        <v>23</v>
      </c>
      <c r="C100" s="32"/>
      <c r="D100" s="86"/>
    </row>
    <row r="101" spans="1:4" ht="16.5" thickBot="1" x14ac:dyDescent="0.3">
      <c r="A101" s="32"/>
      <c r="B101" s="91" t="s">
        <v>20</v>
      </c>
      <c r="C101" s="92"/>
      <c r="D101" s="93">
        <f>D89</f>
        <v>312629.40000000002</v>
      </c>
    </row>
    <row r="102" spans="1:4" ht="16.5" thickTop="1" x14ac:dyDescent="0.25">
      <c r="A102" s="23"/>
    </row>
    <row r="103" spans="1:4" x14ac:dyDescent="0.25">
      <c r="A103" s="23"/>
    </row>
    <row r="106" spans="1:4" x14ac:dyDescent="0.25">
      <c r="A106" s="23"/>
      <c r="B106" s="23"/>
    </row>
  </sheetData>
  <sheetProtection algorithmName="SHA-512" hashValue="iS0+5WmbK3o7TeVgNW33fJEvsslu7niSCeJ/6NMCFi1q6dlUwAmTI+0Q80zE8jt+zg60F2R5+lsZjWFAAIy9qw==" saltValue="Ms0t/7Sh3FOoUCsgSmpNHA==" spinCount="100000" sheet="1" selectLockedCells="1"/>
  <mergeCells count="8">
    <mergeCell ref="A11:D11"/>
    <mergeCell ref="A12:D12"/>
    <mergeCell ref="B93:D93"/>
    <mergeCell ref="A1:D1"/>
    <mergeCell ref="A2:D2"/>
    <mergeCell ref="A5:D5"/>
    <mergeCell ref="A6:D6"/>
    <mergeCell ref="A9:D9"/>
  </mergeCells>
  <conditionalFormatting sqref="C74:C75">
    <cfRule type="cellIs" dxfId="10" priority="6" operator="lessThan">
      <formula>0</formula>
    </cfRule>
  </conditionalFormatting>
  <conditionalFormatting sqref="C1:D2 C3 C4:D11 D75 C76:D92 C94:D65542">
    <cfRule type="cellIs" dxfId="9" priority="11" operator="lessThan">
      <formula>0</formula>
    </cfRule>
  </conditionalFormatting>
  <conditionalFormatting sqref="C13:D73">
    <cfRule type="cellIs" dxfId="8" priority="2" operator="lessThan">
      <formula>0</formula>
    </cfRule>
  </conditionalFormatting>
  <conditionalFormatting sqref="D74">
    <cfRule type="cellIs" dxfId="7" priority="4" operator="lessThan">
      <formula>0</formula>
    </cfRule>
    <cfRule type="cellIs" dxfId="6" priority="5" operator="lessThan">
      <formula>0</formula>
    </cfRule>
  </conditionalFormatting>
  <dataValidations count="1">
    <dataValidation type="decimal" errorStyle="information" allowBlank="1" showErrorMessage="1" errorTitle="Invalid Entry" error="This cell must contain a positive number._x000a_" sqref="B14:B16" xr:uid="{00000000-0002-0000-0000-000000000000}">
      <formula1>0</formula1>
      <formula2>100000000</formula2>
    </dataValidation>
  </dataValidations>
  <printOptions horizontalCentered="1"/>
  <pageMargins left="4.8958333333333336E-3" right="0.35249999999999998" top="0.75" bottom="0.75" header="0.3" footer="0.3"/>
  <pageSetup scale="68" orientation="portrait" r:id="rId1"/>
  <headerFooter>
    <oddHeader xml:space="preserve">&amp;L&amp;G&amp;R&amp;"Arial,Regular"Effective April 1, 2024
</oddHeader>
    <oddFooter>&amp;L&amp;"Arial,Regular"Worksheet valid for calculating bills starting on April 1, 2024.</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8"/>
  <sheetViews>
    <sheetView showGridLines="0" showRowColHeaders="0" showRuler="0" view="pageLayout" zoomScale="90" zoomScaleNormal="90" zoomScaleSheetLayoutView="100" zoomScalePageLayoutView="90" workbookViewId="0">
      <selection activeCell="B18" sqref="B18"/>
    </sheetView>
  </sheetViews>
  <sheetFormatPr defaultColWidth="9.140625" defaultRowHeight="15" x14ac:dyDescent="0.25"/>
  <cols>
    <col min="1" max="1" width="29.7109375" customWidth="1"/>
    <col min="2" max="2" width="50" customWidth="1"/>
    <col min="3" max="3" width="14.28515625" bestFit="1" customWidth="1"/>
    <col min="4" max="4" width="14.85546875" bestFit="1" customWidth="1"/>
    <col min="5" max="5" width="53" customWidth="1"/>
    <col min="6" max="6" width="53.7109375" bestFit="1" customWidth="1"/>
  </cols>
  <sheetData>
    <row r="1" spans="1:5" ht="15.75" x14ac:dyDescent="0.25">
      <c r="A1" s="98" t="s">
        <v>43</v>
      </c>
      <c r="B1" s="98"/>
      <c r="C1" s="98"/>
      <c r="D1" s="98"/>
      <c r="E1" s="1"/>
    </row>
    <row r="2" spans="1:5" ht="15.75" x14ac:dyDescent="0.25">
      <c r="A2" s="98" t="s">
        <v>38</v>
      </c>
      <c r="B2" s="98"/>
      <c r="C2" s="98"/>
      <c r="D2" s="98"/>
      <c r="E2" s="1"/>
    </row>
    <row r="3" spans="1:5" ht="15.75" x14ac:dyDescent="0.25">
      <c r="A3" s="5"/>
      <c r="B3" s="5"/>
      <c r="C3" s="5"/>
      <c r="D3" s="5"/>
    </row>
    <row r="4" spans="1:5" ht="15.75" x14ac:dyDescent="0.25">
      <c r="A4" s="5" t="s">
        <v>0</v>
      </c>
      <c r="B4" s="5"/>
      <c r="C4" s="5"/>
      <c r="D4" s="5"/>
    </row>
    <row r="5" spans="1:5" ht="28.5" customHeight="1" x14ac:dyDescent="0.25">
      <c r="A5" s="94" t="s">
        <v>44</v>
      </c>
      <c r="B5" s="94"/>
      <c r="C5" s="94"/>
      <c r="D5" s="94"/>
      <c r="E5" s="2"/>
    </row>
    <row r="6" spans="1:5" ht="15" customHeight="1" x14ac:dyDescent="0.25">
      <c r="A6" s="94" t="s">
        <v>45</v>
      </c>
      <c r="B6" s="94"/>
      <c r="C6" s="94"/>
      <c r="D6" s="94"/>
      <c r="E6" s="2"/>
    </row>
    <row r="7" spans="1:5" ht="48.75" customHeight="1" x14ac:dyDescent="0.25">
      <c r="A7" s="99" t="s">
        <v>39</v>
      </c>
      <c r="B7" s="99"/>
      <c r="C7" s="99"/>
      <c r="D7" s="99"/>
      <c r="E7" s="2"/>
    </row>
    <row r="8" spans="1:5" ht="15" customHeight="1" x14ac:dyDescent="0.25">
      <c r="A8" s="6"/>
      <c r="B8" s="6"/>
      <c r="C8" s="6"/>
      <c r="D8" s="6"/>
      <c r="E8" s="2"/>
    </row>
    <row r="9" spans="1:5" ht="15" customHeight="1" x14ac:dyDescent="0.25">
      <c r="A9" s="6"/>
      <c r="B9" s="6"/>
      <c r="C9" s="6"/>
      <c r="D9" s="6"/>
      <c r="E9" s="2"/>
    </row>
    <row r="10" spans="1:5" ht="15" customHeight="1" x14ac:dyDescent="0.25">
      <c r="A10" s="6"/>
      <c r="B10" s="6"/>
      <c r="C10" s="6"/>
      <c r="D10" s="6"/>
      <c r="E10" s="2"/>
    </row>
    <row r="11" spans="1:5" ht="15" customHeight="1" x14ac:dyDescent="0.25">
      <c r="A11" s="6"/>
      <c r="B11" s="6"/>
      <c r="C11" s="6"/>
      <c r="D11" s="6"/>
      <c r="E11" s="2"/>
    </row>
    <row r="12" spans="1:5" ht="15" customHeight="1" x14ac:dyDescent="0.25">
      <c r="A12" s="6"/>
      <c r="B12" s="6"/>
      <c r="C12" s="6"/>
      <c r="D12" s="6"/>
      <c r="E12" s="2"/>
    </row>
    <row r="13" spans="1:5" ht="15" customHeight="1" x14ac:dyDescent="0.25">
      <c r="A13" s="6"/>
      <c r="B13" s="6"/>
      <c r="C13" s="6"/>
      <c r="D13" s="6"/>
      <c r="E13" s="2"/>
    </row>
    <row r="14" spans="1:5" ht="29.25" customHeight="1" x14ac:dyDescent="0.25">
      <c r="A14" s="94" t="s">
        <v>51</v>
      </c>
      <c r="B14" s="94"/>
      <c r="C14" s="94"/>
      <c r="D14" s="94"/>
      <c r="E14" s="2"/>
    </row>
    <row r="15" spans="1:5" ht="27.75" customHeight="1" x14ac:dyDescent="0.25">
      <c r="A15" s="94" t="s">
        <v>40</v>
      </c>
      <c r="B15" s="94"/>
      <c r="C15" s="94"/>
      <c r="D15" s="94"/>
    </row>
    <row r="16" spans="1:5" ht="15.75" x14ac:dyDescent="0.25">
      <c r="A16" s="94" t="s">
        <v>47</v>
      </c>
      <c r="B16" s="94"/>
      <c r="C16" s="94"/>
      <c r="D16" s="94"/>
    </row>
    <row r="17" spans="1:5" ht="16.5" thickBot="1" x14ac:dyDescent="0.3">
      <c r="A17" s="5"/>
      <c r="B17" s="7" t="s">
        <v>26</v>
      </c>
      <c r="C17" s="5"/>
      <c r="D17" s="5"/>
    </row>
    <row r="18" spans="1:5" ht="16.5" thickBot="1" x14ac:dyDescent="0.3">
      <c r="A18" s="5" t="s">
        <v>33</v>
      </c>
      <c r="B18" s="8">
        <v>3000000</v>
      </c>
      <c r="C18" s="5"/>
      <c r="D18" s="5"/>
    </row>
    <row r="19" spans="1:5" ht="16.5" thickBot="1" x14ac:dyDescent="0.3">
      <c r="A19" s="5" t="s">
        <v>34</v>
      </c>
      <c r="B19" s="9">
        <v>0</v>
      </c>
      <c r="C19" s="5"/>
      <c r="D19" s="5"/>
    </row>
    <row r="20" spans="1:5" ht="16.5" thickBot="1" x14ac:dyDescent="0.3">
      <c r="A20" s="5" t="s">
        <v>35</v>
      </c>
      <c r="B20" s="10">
        <f>B18-B19</f>
        <v>3000000</v>
      </c>
      <c r="C20" s="5"/>
      <c r="D20" s="5"/>
    </row>
    <row r="21" spans="1:5" ht="16.5" thickBot="1" x14ac:dyDescent="0.3">
      <c r="A21" s="5" t="s">
        <v>8</v>
      </c>
      <c r="B21" s="11">
        <v>3000</v>
      </c>
      <c r="C21" s="5"/>
      <c r="D21" s="5"/>
    </row>
    <row r="22" spans="1:5" ht="16.5" thickBot="1" x14ac:dyDescent="0.3">
      <c r="A22" s="5" t="s">
        <v>12</v>
      </c>
      <c r="B22" s="11">
        <v>1453</v>
      </c>
      <c r="C22" s="5"/>
      <c r="D22" s="5"/>
      <c r="E22" s="3"/>
    </row>
    <row r="23" spans="1:5" ht="15.75" x14ac:dyDescent="0.25">
      <c r="A23" s="5"/>
      <c r="B23" s="12"/>
      <c r="C23" s="5"/>
      <c r="D23" s="13"/>
      <c r="E23" s="3"/>
    </row>
    <row r="24" spans="1:5" ht="15.75" x14ac:dyDescent="0.25">
      <c r="A24" s="5"/>
      <c r="B24" s="14" t="s">
        <v>24</v>
      </c>
      <c r="C24" s="15"/>
      <c r="D24" s="16">
        <f>D91+D81</f>
        <v>336555.15199546004</v>
      </c>
      <c r="E24" s="3"/>
    </row>
    <row r="25" spans="1:5" ht="7.5" customHeight="1" x14ac:dyDescent="0.25">
      <c r="A25" s="5"/>
      <c r="B25" s="17"/>
      <c r="C25" s="5"/>
      <c r="D25" s="13"/>
      <c r="E25" s="3"/>
    </row>
    <row r="26" spans="1:5" ht="15.75" x14ac:dyDescent="0.25">
      <c r="A26" s="5"/>
      <c r="B26" s="14" t="s">
        <v>25</v>
      </c>
      <c r="C26" s="15"/>
      <c r="D26" s="18">
        <f>IF(B20&lt;0,-($D$91/$B$20),($D$91/$B$20))</f>
        <v>0.10420980000000001</v>
      </c>
      <c r="E26" s="3"/>
    </row>
    <row r="27" spans="1:5" ht="7.5" customHeight="1" thickBot="1" x14ac:dyDescent="0.3">
      <c r="A27" s="5"/>
      <c r="B27" s="5"/>
      <c r="C27" s="5"/>
      <c r="D27" s="5"/>
    </row>
    <row r="28" spans="1:5" ht="15.75" thickTop="1" x14ac:dyDescent="0.25">
      <c r="A28" s="24" t="s">
        <v>48</v>
      </c>
      <c r="B28" s="25"/>
      <c r="C28" s="26"/>
      <c r="D28" s="27"/>
    </row>
    <row r="29" spans="1:5" x14ac:dyDescent="0.25">
      <c r="A29" s="28" t="s">
        <v>41</v>
      </c>
      <c r="B29" s="29"/>
      <c r="C29" s="29"/>
      <c r="D29" s="30">
        <f>ROUND(C30,2)</f>
        <v>433.57</v>
      </c>
    </row>
    <row r="30" spans="1:5" x14ac:dyDescent="0.25">
      <c r="A30" s="31"/>
      <c r="B30" s="32" t="s">
        <v>2</v>
      </c>
      <c r="C30" s="33">
        <v>433.57</v>
      </c>
      <c r="D30" s="34"/>
    </row>
    <row r="31" spans="1:5" x14ac:dyDescent="0.25">
      <c r="A31" s="35" t="s">
        <v>17</v>
      </c>
      <c r="B31" s="32"/>
      <c r="C31" s="36"/>
      <c r="D31" s="34"/>
    </row>
    <row r="32" spans="1:5" x14ac:dyDescent="0.25">
      <c r="A32" s="37" t="s">
        <v>74</v>
      </c>
      <c r="B32" s="32"/>
      <c r="C32" s="36"/>
      <c r="D32" s="34">
        <f>ROUND(C33,2)</f>
        <v>610.26</v>
      </c>
    </row>
    <row r="33" spans="1:7" x14ac:dyDescent="0.25">
      <c r="A33" s="38"/>
      <c r="B33" s="32" t="s">
        <v>2</v>
      </c>
      <c r="C33" s="39">
        <v>610.26</v>
      </c>
      <c r="D33" s="34"/>
    </row>
    <row r="34" spans="1:7" x14ac:dyDescent="0.25">
      <c r="A34" s="35"/>
      <c r="B34" s="32"/>
      <c r="C34" s="36"/>
      <c r="D34" s="34"/>
    </row>
    <row r="35" spans="1:7" x14ac:dyDescent="0.25">
      <c r="A35" s="40" t="s">
        <v>28</v>
      </c>
      <c r="B35" s="32"/>
      <c r="C35" s="36"/>
      <c r="D35" s="41">
        <f>IF(B20&lt;0,0,IF(B20&lt;833000,ROUND(C36*$B$20,2),ROUND(((833000)*C36)+((B20-833000)*C37),2)))</f>
        <v>2463.0300000000002</v>
      </c>
    </row>
    <row r="36" spans="1:7" x14ac:dyDescent="0.25">
      <c r="A36" s="40"/>
      <c r="B36" s="32" t="s">
        <v>30</v>
      </c>
      <c r="C36" s="42">
        <f>'168'!C30</f>
        <v>1.474E-3</v>
      </c>
      <c r="D36" s="41"/>
    </row>
    <row r="37" spans="1:7" x14ac:dyDescent="0.25">
      <c r="A37" s="40"/>
      <c r="B37" s="32" t="s">
        <v>31</v>
      </c>
      <c r="C37" s="42">
        <f>'168'!C31</f>
        <v>5.6999999999999998E-4</v>
      </c>
      <c r="D37" s="41"/>
    </row>
    <row r="38" spans="1:7" x14ac:dyDescent="0.25">
      <c r="A38" s="40"/>
      <c r="B38" s="32"/>
      <c r="C38" s="32"/>
      <c r="D38" s="41"/>
    </row>
    <row r="39" spans="1:7" x14ac:dyDescent="0.25">
      <c r="A39" s="40" t="s">
        <v>52</v>
      </c>
      <c r="B39" s="32"/>
      <c r="C39" s="32"/>
      <c r="D39" s="41">
        <f>IF(B20&lt;0,0,IF(B20&lt;=833000,ROUND(C40*$B$20,2),833000*C40))</f>
        <v>241.99982800000001</v>
      </c>
    </row>
    <row r="40" spans="1:7" x14ac:dyDescent="0.25">
      <c r="A40" s="40"/>
      <c r="B40" s="32" t="s">
        <v>30</v>
      </c>
      <c r="C40" s="43">
        <f>'168'!C34</f>
        <v>2.9051599999999999E-4</v>
      </c>
      <c r="D40" s="41"/>
    </row>
    <row r="41" spans="1:7" x14ac:dyDescent="0.25">
      <c r="A41" s="40"/>
      <c r="B41" s="32"/>
      <c r="C41" s="44"/>
      <c r="D41" s="41"/>
    </row>
    <row r="42" spans="1:7" x14ac:dyDescent="0.25">
      <c r="A42" s="40" t="s">
        <v>13</v>
      </c>
      <c r="B42" s="32"/>
      <c r="C42" s="32"/>
      <c r="D42" s="41">
        <f>IF(B20&lt;0,0,ROUND(C43*$B$20,2))</f>
        <v>0</v>
      </c>
    </row>
    <row r="43" spans="1:7" x14ac:dyDescent="0.25">
      <c r="A43" s="40"/>
      <c r="B43" s="32" t="s">
        <v>3</v>
      </c>
      <c r="C43" s="43">
        <f>'168'!C37</f>
        <v>0</v>
      </c>
      <c r="D43" s="34"/>
    </row>
    <row r="44" spans="1:7" x14ac:dyDescent="0.25">
      <c r="A44" s="40"/>
      <c r="B44" s="32"/>
      <c r="C44" s="32"/>
      <c r="D44" s="34"/>
    </row>
    <row r="45" spans="1:7" x14ac:dyDescent="0.25">
      <c r="A45" s="40" t="s">
        <v>15</v>
      </c>
      <c r="B45" s="32"/>
      <c r="C45" s="32"/>
      <c r="D45" s="41">
        <f>IF(B20&lt;0,0,ROUND(C46*$B$20,2))</f>
        <v>0</v>
      </c>
    </row>
    <row r="46" spans="1:7" x14ac:dyDescent="0.25">
      <c r="A46" s="40"/>
      <c r="B46" s="32" t="s">
        <v>3</v>
      </c>
      <c r="C46" s="43">
        <f>'168'!C40</f>
        <v>0</v>
      </c>
      <c r="D46" s="41"/>
    </row>
    <row r="47" spans="1:7" x14ac:dyDescent="0.25">
      <c r="A47" s="40"/>
      <c r="B47" s="32"/>
      <c r="C47" s="43"/>
      <c r="D47" s="41"/>
    </row>
    <row r="48" spans="1:7" x14ac:dyDescent="0.25">
      <c r="A48" s="40" t="s">
        <v>73</v>
      </c>
      <c r="B48" s="32"/>
      <c r="C48" s="42"/>
      <c r="D48" s="41">
        <f>IF(B20&gt;833000,ROUND(833000*C49,2),ROUND(C49*$B$20,2))</f>
        <v>1499.98</v>
      </c>
      <c r="E48" s="3"/>
      <c r="G48" s="3"/>
    </row>
    <row r="49" spans="1:7" x14ac:dyDescent="0.25">
      <c r="A49" s="40"/>
      <c r="B49" s="32" t="s">
        <v>30</v>
      </c>
      <c r="C49" s="42">
        <f>'168'!C43</f>
        <v>1.8006999999999999E-3</v>
      </c>
      <c r="D49" s="34"/>
      <c r="E49" s="3"/>
      <c r="G49" s="3"/>
    </row>
    <row r="50" spans="1:7" x14ac:dyDescent="0.25">
      <c r="A50" s="40"/>
      <c r="B50" s="32"/>
      <c r="C50" s="42"/>
      <c r="D50" s="34"/>
      <c r="E50" s="3"/>
      <c r="G50" s="3"/>
    </row>
    <row r="51" spans="1:7" x14ac:dyDescent="0.25">
      <c r="A51" s="40" t="s">
        <v>4</v>
      </c>
      <c r="B51" s="32"/>
      <c r="C51" s="32"/>
      <c r="D51" s="41">
        <f>IF(B20&lt;0,0,IF($B$20&lt;2001,ROUND($B$20*C52,2),IF($B$20&gt;15000,ROUND(2000*C52,2)+ROUND(13000*C53,2)+ROUND(($B$20-15000)*C54,2),ROUND(2000*C52,2)+ROUND(($B$20-2000)*C53,2))))</f>
        <v>10899.32</v>
      </c>
    </row>
    <row r="52" spans="1:7" x14ac:dyDescent="0.25">
      <c r="A52" s="40"/>
      <c r="B52" s="32" t="s">
        <v>5</v>
      </c>
      <c r="C52" s="43">
        <f>'168'!C46</f>
        <v>4.6499999999999996E-3</v>
      </c>
      <c r="D52" s="34"/>
      <c r="E52" s="3"/>
    </row>
    <row r="53" spans="1:7" x14ac:dyDescent="0.25">
      <c r="A53" s="40"/>
      <c r="B53" s="32" t="s">
        <v>6</v>
      </c>
      <c r="C53" s="43">
        <f>'168'!C47</f>
        <v>4.1900000000000001E-3</v>
      </c>
      <c r="D53" s="34"/>
    </row>
    <row r="54" spans="1:7" x14ac:dyDescent="0.25">
      <c r="A54" s="40"/>
      <c r="B54" s="32" t="s">
        <v>7</v>
      </c>
      <c r="C54" s="43">
        <f>'168'!C48</f>
        <v>3.63E-3</v>
      </c>
      <c r="D54" s="34"/>
    </row>
    <row r="55" spans="1:7" x14ac:dyDescent="0.25">
      <c r="A55" s="45"/>
      <c r="B55" s="46"/>
      <c r="C55" s="32"/>
      <c r="D55" s="34"/>
    </row>
    <row r="56" spans="1:7" x14ac:dyDescent="0.25">
      <c r="A56" s="31" t="s">
        <v>58</v>
      </c>
      <c r="B56" s="32"/>
      <c r="C56" s="32"/>
      <c r="D56" s="34">
        <f>ROUND(C57*(D29),2)</f>
        <v>36.049999999999997</v>
      </c>
    </row>
    <row r="57" spans="1:7" x14ac:dyDescent="0.25">
      <c r="A57" s="31"/>
      <c r="B57" s="47" t="s">
        <v>29</v>
      </c>
      <c r="C57" s="48">
        <f>'168'!C51</f>
        <v>8.3150000000000002E-2</v>
      </c>
      <c r="D57" s="34"/>
    </row>
    <row r="58" spans="1:7" x14ac:dyDescent="0.25">
      <c r="A58" s="31"/>
      <c r="B58" s="47"/>
      <c r="C58" s="48"/>
      <c r="D58" s="34"/>
    </row>
    <row r="59" spans="1:7" x14ac:dyDescent="0.25">
      <c r="A59" s="31" t="s">
        <v>59</v>
      </c>
      <c r="B59" s="47"/>
      <c r="C59" s="49"/>
      <c r="D59" s="41">
        <f>IF(B20&lt;0,0,IF(B20&lt;=833000,ROUND(C60*$B$18,2),833000*C60))</f>
        <v>0</v>
      </c>
    </row>
    <row r="60" spans="1:7" x14ac:dyDescent="0.25">
      <c r="A60" s="31"/>
      <c r="B60" s="32" t="s">
        <v>3</v>
      </c>
      <c r="C60" s="50">
        <v>0</v>
      </c>
      <c r="D60" s="34"/>
    </row>
    <row r="61" spans="1:7" x14ac:dyDescent="0.25">
      <c r="A61" s="31"/>
      <c r="B61" s="32"/>
      <c r="C61" s="32"/>
      <c r="D61" s="34"/>
    </row>
    <row r="62" spans="1:7" x14ac:dyDescent="0.25">
      <c r="A62" s="31" t="s">
        <v>60</v>
      </c>
      <c r="B62" s="32"/>
      <c r="C62" s="32"/>
      <c r="D62" s="34">
        <f>ROUND(C63*(D29),2)</f>
        <v>0</v>
      </c>
    </row>
    <row r="63" spans="1:7" x14ac:dyDescent="0.25">
      <c r="A63" s="31"/>
      <c r="B63" s="32" t="s">
        <v>2</v>
      </c>
      <c r="C63" s="50">
        <v>0</v>
      </c>
      <c r="D63" s="34"/>
    </row>
    <row r="64" spans="1:7" x14ac:dyDescent="0.25">
      <c r="A64" s="31"/>
      <c r="B64" s="32"/>
      <c r="C64" s="50"/>
      <c r="D64" s="34"/>
    </row>
    <row r="65" spans="1:5" x14ac:dyDescent="0.25">
      <c r="A65" s="31" t="s">
        <v>61</v>
      </c>
      <c r="B65" s="32"/>
      <c r="C65" s="50"/>
      <c r="D65" s="34">
        <f>C66*D29</f>
        <v>45.862167459999995</v>
      </c>
    </row>
    <row r="66" spans="1:5" x14ac:dyDescent="0.25">
      <c r="A66" s="31"/>
      <c r="B66" s="47" t="s">
        <v>29</v>
      </c>
      <c r="C66" s="49">
        <f>'168'!C60</f>
        <v>0.105778</v>
      </c>
      <c r="D66" s="34"/>
    </row>
    <row r="67" spans="1:5" x14ac:dyDescent="0.25">
      <c r="A67" s="40"/>
      <c r="B67" s="32"/>
      <c r="C67" s="43"/>
      <c r="D67" s="41"/>
    </row>
    <row r="68" spans="1:5" x14ac:dyDescent="0.25">
      <c r="A68" s="51" t="s">
        <v>54</v>
      </c>
      <c r="B68" s="32"/>
      <c r="C68" s="43"/>
      <c r="D68" s="41">
        <f>ROUND(C69,2)</f>
        <v>6.34</v>
      </c>
    </row>
    <row r="69" spans="1:5" x14ac:dyDescent="0.25">
      <c r="A69" s="35"/>
      <c r="B69" s="32" t="s">
        <v>32</v>
      </c>
      <c r="C69" s="39">
        <f>'168'!C67</f>
        <v>6.34</v>
      </c>
      <c r="D69" s="41"/>
    </row>
    <row r="70" spans="1:5" x14ac:dyDescent="0.25">
      <c r="A70" s="40"/>
      <c r="B70" s="32"/>
      <c r="C70" s="43"/>
      <c r="D70" s="41"/>
    </row>
    <row r="71" spans="1:5" x14ac:dyDescent="0.25">
      <c r="A71" s="40" t="s">
        <v>16</v>
      </c>
      <c r="B71" s="32"/>
      <c r="C71" s="32"/>
      <c r="D71" s="41">
        <f>IF(B20&lt;0,ROUND((C72*B21)+(B22*C74),2),ROUND(C72*$B$21,2)+ROUND(C73*$B$20,2)+ROUND(C74*$B$22,2))</f>
        <v>7697.71</v>
      </c>
      <c r="E71" s="3"/>
    </row>
    <row r="72" spans="1:5" x14ac:dyDescent="0.25">
      <c r="A72" s="40"/>
      <c r="B72" s="32" t="s">
        <v>9</v>
      </c>
      <c r="C72" s="43">
        <f>'168'!C70</f>
        <v>1.8725019000000001</v>
      </c>
      <c r="D72" s="41"/>
    </row>
    <row r="73" spans="1:5" x14ac:dyDescent="0.25">
      <c r="A73" s="40"/>
      <c r="B73" s="32" t="s">
        <v>10</v>
      </c>
      <c r="C73" s="43">
        <f>'168'!C71</f>
        <v>6.9340000000000005E-4</v>
      </c>
      <c r="D73" s="41"/>
    </row>
    <row r="74" spans="1:5" x14ac:dyDescent="0.25">
      <c r="A74" s="31"/>
      <c r="B74" s="32" t="s">
        <v>11</v>
      </c>
      <c r="C74" s="43">
        <f>'168'!C72</f>
        <v>0</v>
      </c>
      <c r="D74" s="41"/>
    </row>
    <row r="75" spans="1:5" x14ac:dyDescent="0.25">
      <c r="A75" s="31"/>
      <c r="B75" s="32"/>
      <c r="C75" s="43"/>
      <c r="D75" s="41"/>
    </row>
    <row r="76" spans="1:5" x14ac:dyDescent="0.25">
      <c r="A76" s="51" t="s">
        <v>42</v>
      </c>
      <c r="B76" s="32"/>
      <c r="C76" s="43"/>
      <c r="D76" s="52">
        <f>ROUND((D29)*C77,2)</f>
        <v>-8.3699999999999992</v>
      </c>
    </row>
    <row r="77" spans="1:5" x14ac:dyDescent="0.25">
      <c r="A77" s="35"/>
      <c r="B77" s="32" t="s">
        <v>29</v>
      </c>
      <c r="C77" s="48">
        <f>'168'!C75</f>
        <v>-1.9311999999999999E-2</v>
      </c>
      <c r="D77" s="41"/>
    </row>
    <row r="78" spans="1:5" x14ac:dyDescent="0.25">
      <c r="A78" s="31"/>
      <c r="B78" s="32"/>
      <c r="C78" s="43"/>
      <c r="D78" s="41"/>
    </row>
    <row r="79" spans="1:5" x14ac:dyDescent="0.25">
      <c r="A79" s="53" t="s">
        <v>18</v>
      </c>
      <c r="B79" s="32"/>
      <c r="C79" s="43"/>
      <c r="D79" s="54">
        <f>SUM(D32:D76)</f>
        <v>23492.18199546</v>
      </c>
    </row>
    <row r="80" spans="1:5" x14ac:dyDescent="0.25">
      <c r="A80" s="35"/>
      <c r="B80" s="32"/>
      <c r="C80" s="43"/>
      <c r="D80" s="41"/>
    </row>
    <row r="81" spans="1:6" x14ac:dyDescent="0.25">
      <c r="A81" s="55" t="s">
        <v>49</v>
      </c>
      <c r="B81" s="56"/>
      <c r="C81" s="57"/>
      <c r="D81" s="58">
        <f>SUM(D79+D29)</f>
        <v>23925.751995459999</v>
      </c>
    </row>
    <row r="82" spans="1:6" x14ac:dyDescent="0.25">
      <c r="A82" s="46"/>
      <c r="B82" s="46"/>
      <c r="C82" s="32"/>
      <c r="D82" s="59"/>
    </row>
    <row r="83" spans="1:6" x14ac:dyDescent="0.25">
      <c r="A83" s="46"/>
      <c r="B83" s="46"/>
      <c r="C83" s="32"/>
      <c r="D83" s="59"/>
    </row>
    <row r="84" spans="1:6" x14ac:dyDescent="0.25">
      <c r="A84" s="46"/>
      <c r="B84" s="46"/>
      <c r="C84" s="32"/>
      <c r="D84" s="59"/>
    </row>
    <row r="85" spans="1:6" x14ac:dyDescent="0.25">
      <c r="A85" s="46"/>
      <c r="B85" s="46"/>
      <c r="C85" s="32"/>
      <c r="D85" s="59"/>
    </row>
    <row r="86" spans="1:6" ht="15.75" thickBot="1" x14ac:dyDescent="0.3">
      <c r="A86" s="46"/>
      <c r="B86" s="46"/>
      <c r="C86" s="32"/>
      <c r="D86" s="59"/>
    </row>
    <row r="87" spans="1:6" ht="16.5" thickTop="1" thickBot="1" x14ac:dyDescent="0.3">
      <c r="A87" s="60" t="s">
        <v>19</v>
      </c>
      <c r="B87" s="61"/>
      <c r="C87" s="62"/>
      <c r="D87" s="63"/>
    </row>
    <row r="88" spans="1:6" ht="15.75" thickTop="1" x14ac:dyDescent="0.25">
      <c r="A88" s="64" t="s">
        <v>27</v>
      </c>
      <c r="B88" s="65"/>
      <c r="C88" s="65"/>
      <c r="D88" s="66">
        <f>ROUND(C89*$B$20,2)</f>
        <v>312629.40000000002</v>
      </c>
    </row>
    <row r="89" spans="1:6" x14ac:dyDescent="0.25">
      <c r="A89" s="67"/>
      <c r="B89" s="32" t="s">
        <v>10</v>
      </c>
      <c r="C89" s="43">
        <f>'168'!C87</f>
        <v>0.10420980000000001</v>
      </c>
      <c r="D89" s="68"/>
    </row>
    <row r="90" spans="1:6" x14ac:dyDescent="0.25">
      <c r="A90" s="69"/>
      <c r="B90" s="32"/>
      <c r="C90" s="43"/>
      <c r="D90" s="68"/>
      <c r="F90" s="4"/>
    </row>
    <row r="91" spans="1:6" ht="15.75" thickBot="1" x14ac:dyDescent="0.3">
      <c r="A91" s="70" t="s">
        <v>20</v>
      </c>
      <c r="B91" s="71"/>
      <c r="C91" s="72"/>
      <c r="D91" s="73">
        <f>SUM(D88)</f>
        <v>312629.40000000002</v>
      </c>
      <c r="F91" s="4"/>
    </row>
    <row r="92" spans="1:6" ht="15.75" thickTop="1" x14ac:dyDescent="0.25">
      <c r="A92" s="74"/>
      <c r="B92" s="46"/>
      <c r="C92" s="75"/>
      <c r="D92" s="76"/>
      <c r="F92" s="4"/>
    </row>
    <row r="93" spans="1:6" ht="15.75" thickBot="1" x14ac:dyDescent="0.3">
      <c r="A93" s="77" t="s">
        <v>21</v>
      </c>
      <c r="B93" s="78"/>
      <c r="C93" s="78"/>
      <c r="D93" s="79">
        <f>D91+D81</f>
        <v>336555.15199546004</v>
      </c>
    </row>
    <row r="94" spans="1:6" ht="16.5" thickTop="1" thickBot="1" x14ac:dyDescent="0.3">
      <c r="A94" s="46"/>
      <c r="B94" s="46"/>
      <c r="C94" s="32"/>
      <c r="D94" s="80"/>
      <c r="E94" s="3"/>
      <c r="F94" s="3"/>
    </row>
    <row r="95" spans="1:6" ht="15.75" thickTop="1" x14ac:dyDescent="0.25">
      <c r="A95" s="46"/>
      <c r="B95" s="95" t="s">
        <v>50</v>
      </c>
      <c r="C95" s="96"/>
      <c r="D95" s="97"/>
    </row>
    <row r="96" spans="1:6" x14ac:dyDescent="0.25">
      <c r="A96" s="32"/>
      <c r="B96" s="81"/>
      <c r="C96" s="32"/>
      <c r="D96" s="82"/>
    </row>
    <row r="97" spans="1:4" x14ac:dyDescent="0.25">
      <c r="A97" s="32"/>
      <c r="B97" s="83" t="s">
        <v>48</v>
      </c>
      <c r="C97" s="84"/>
      <c r="D97" s="82"/>
    </row>
    <row r="98" spans="1:4" x14ac:dyDescent="0.25">
      <c r="A98" s="32"/>
      <c r="B98" s="85" t="s">
        <v>14</v>
      </c>
      <c r="C98" s="32"/>
      <c r="D98" s="86">
        <f>D29</f>
        <v>433.57</v>
      </c>
    </row>
    <row r="99" spans="1:4" x14ac:dyDescent="0.25">
      <c r="A99" s="32"/>
      <c r="B99" s="85" t="s">
        <v>22</v>
      </c>
      <c r="C99" s="32"/>
      <c r="D99" s="86">
        <f>D79</f>
        <v>23492.18199546</v>
      </c>
    </row>
    <row r="100" spans="1:4" x14ac:dyDescent="0.25">
      <c r="A100" s="32"/>
      <c r="B100" s="87" t="s">
        <v>49</v>
      </c>
      <c r="C100" s="46"/>
      <c r="D100" s="88">
        <f>D81</f>
        <v>23925.751995459999</v>
      </c>
    </row>
    <row r="101" spans="1:4" x14ac:dyDescent="0.25">
      <c r="A101" s="32"/>
      <c r="B101" s="89"/>
      <c r="C101" s="32"/>
      <c r="D101" s="86"/>
    </row>
    <row r="102" spans="1:4" x14ac:dyDescent="0.25">
      <c r="A102" s="32"/>
      <c r="B102" s="90" t="s">
        <v>23</v>
      </c>
      <c r="C102" s="32"/>
      <c r="D102" s="86"/>
    </row>
    <row r="103" spans="1:4" ht="15.75" thickBot="1" x14ac:dyDescent="0.3">
      <c r="A103" s="32"/>
      <c r="B103" s="91" t="s">
        <v>20</v>
      </c>
      <c r="C103" s="92"/>
      <c r="D103" s="93">
        <f>D91</f>
        <v>312629.40000000002</v>
      </c>
    </row>
    <row r="104" spans="1:4" ht="15.75" thickTop="1" x14ac:dyDescent="0.25">
      <c r="A104" s="3"/>
    </row>
    <row r="105" spans="1:4" x14ac:dyDescent="0.25">
      <c r="A105" s="3"/>
    </row>
    <row r="108" spans="1:4" x14ac:dyDescent="0.25">
      <c r="A108" s="3"/>
      <c r="B108" s="3"/>
    </row>
  </sheetData>
  <sheetProtection algorithmName="SHA-512" hashValue="dkZrP/7C29vUPS8kYdv62wwkidAGxjn9zjGaLsggiu9KclizGF02Jizv58DoVI2XxLsiL4Id3C/B/8H99kC4lA==" saltValue="WazBITgRCeqp2o9PIVeyrw==" spinCount="100000" sheet="1" selectLockedCells="1"/>
  <mergeCells count="9">
    <mergeCell ref="A16:D16"/>
    <mergeCell ref="B95:D95"/>
    <mergeCell ref="A7:D7"/>
    <mergeCell ref="A1:D1"/>
    <mergeCell ref="A2:D2"/>
    <mergeCell ref="A5:D5"/>
    <mergeCell ref="A6:D6"/>
    <mergeCell ref="A14:D14"/>
    <mergeCell ref="A15:D15"/>
  </mergeCells>
  <conditionalFormatting sqref="C76:C77">
    <cfRule type="cellIs" dxfId="5" priority="8" operator="lessThan">
      <formula>0</formula>
    </cfRule>
  </conditionalFormatting>
  <conditionalFormatting sqref="C1:D2 C3 C4:D6 C8:D15 C96:D65538">
    <cfRule type="cellIs" dxfId="4" priority="13" operator="lessThan">
      <formula>0</formula>
    </cfRule>
  </conditionalFormatting>
  <conditionalFormatting sqref="C17:D75">
    <cfRule type="cellIs" dxfId="3" priority="1" operator="lessThan">
      <formula>0</formula>
    </cfRule>
  </conditionalFormatting>
  <conditionalFormatting sqref="D76">
    <cfRule type="cellIs" dxfId="2" priority="6" operator="lessThan">
      <formula>0</formula>
    </cfRule>
    <cfRule type="cellIs" dxfId="1" priority="7" operator="lessThan">
      <formula>0</formula>
    </cfRule>
  </conditionalFormatting>
  <conditionalFormatting sqref="D77 C78:D94">
    <cfRule type="cellIs" dxfId="0" priority="9" operator="lessThan">
      <formula>0</formula>
    </cfRule>
  </conditionalFormatting>
  <dataValidations count="2">
    <dataValidation type="decimal" errorStyle="information" allowBlank="1" showErrorMessage="1" errorTitle="Invalid Entry" error="This cell must contain a positive number._x000a_" sqref="B18:B19 B21:B22" xr:uid="{00000000-0002-0000-0100-000000000000}">
      <formula1>0</formula1>
      <formula2>100000000</formula2>
    </dataValidation>
    <dataValidation type="decimal" errorStyle="information" allowBlank="1" showInputMessage="1" showErrorMessage="1" errorTitle="Invalid Entry" error="This cell must contain a positive number." sqref="B20" xr:uid="{00000000-0002-0000-0100-000001000000}">
      <formula1>0</formula1>
      <formula2>100000000</formula2>
    </dataValidation>
  </dataValidations>
  <printOptions horizontalCentered="1"/>
  <pageMargins left="0.7" right="0.7" top="0.75" bottom="0.75" header="0.3" footer="0.3"/>
  <pageSetup scale="77" orientation="portrait" r:id="rId1"/>
  <headerFooter>
    <oddHeader xml:space="preserve">&amp;L&amp;G&amp;R&amp;"Arial,Regular"Effective April 1, 2024 
</oddHeader>
    <oddFooter>&amp;L&amp;"Arial,Regular"Worksheet valid for calculating bills starting on April 1, 2024.</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64e94169-021c-4578-be09-6006b4dea068" xsi:nil="true"/>
    <TaxCatchAll xmlns="8e537545-18ac-42cc-8f2a-89499299f0e1" xsi:nil="true"/>
    <lcf76f155ced4ddcb4097134ff3c332f xmlns="64e94169-021c-4578-be09-6006b4dea06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335DA127EFEA643A071466D67462D58" ma:contentTypeVersion="18" ma:contentTypeDescription="Create a new document." ma:contentTypeScope="" ma:versionID="bb4d01d89fac8602414c897f6783ecea">
  <xsd:schema xmlns:xsd="http://www.w3.org/2001/XMLSchema" xmlns:xs="http://www.w3.org/2001/XMLSchema" xmlns:p="http://schemas.microsoft.com/office/2006/metadata/properties" xmlns:ns2="64e94169-021c-4578-be09-6006b4dea068" xmlns:ns3="8e537545-18ac-42cc-8f2a-89499299f0e1" targetNamespace="http://schemas.microsoft.com/office/2006/metadata/properties" ma:root="true" ma:fieldsID="adac88aae904a8fc569624feeb3c92b0" ns2:_="" ns3:_="">
    <xsd:import namespace="64e94169-021c-4578-be09-6006b4dea068"/>
    <xsd:import namespace="8e537545-18ac-42cc-8f2a-89499299f0e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_Flow_SignoffStatus" minOccurs="0"/>
                <xsd:element ref="ns2:MediaServiceDateTake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e94169-021c-4578-be09-6006b4dea0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_Flow_SignoffStatus" ma:index="19" nillable="true" ma:displayName="Sign-off status" ma:internalName="Sign_x002d_off_x0020_status">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d4df7da-c195-4679-b09b-159ed35ba17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e537545-18ac-42cc-8f2a-89499299f0e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45159a9-6d9c-4454-b472-74cf3cb3e2d5}" ma:internalName="TaxCatchAll" ma:showField="CatchAllData" ma:web="8e537545-18ac-42cc-8f2a-89499299f0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9F2210-589F-4418-B7F5-D1654ECC4CCE}">
  <ds:schemaRefs>
    <ds:schemaRef ds:uri="http://schemas.microsoft.com/sharepoint/v3/contenttype/forms"/>
  </ds:schemaRefs>
</ds:datastoreItem>
</file>

<file path=customXml/itemProps2.xml><?xml version="1.0" encoding="utf-8"?>
<ds:datastoreItem xmlns:ds="http://schemas.openxmlformats.org/officeDocument/2006/customXml" ds:itemID="{7C18970A-BD3B-4053-AF64-772101833F31}">
  <ds:schemaRefs>
    <ds:schemaRef ds:uri="http://schemas.microsoft.com/office/2006/documentManagement/types"/>
    <ds:schemaRef ds:uri="64e94169-021c-4578-be09-6006b4dea068"/>
    <ds:schemaRef ds:uri="http://purl.org/dc/elements/1.1/"/>
    <ds:schemaRef ds:uri="http://www.w3.org/XML/1998/namespace"/>
    <ds:schemaRef ds:uri="http://purl.org/dc/dcmitype/"/>
    <ds:schemaRef ds:uri="8e537545-18ac-42cc-8f2a-89499299f0e1"/>
    <ds:schemaRef ds:uri="http://schemas.openxmlformats.org/package/2006/metadata/core-properties"/>
    <ds:schemaRef ds:uri="http://schemas.microsoft.com/office/infopath/2007/PartnerControls"/>
    <ds:schemaRef ds:uri="http://purl.org/dc/terms/"/>
    <ds:schemaRef ds:uri="http://schemas.microsoft.com/office/2006/metadata/properties"/>
  </ds:schemaRefs>
</ds:datastoreItem>
</file>

<file path=customXml/itemProps3.xml><?xml version="1.0" encoding="utf-8"?>
<ds:datastoreItem xmlns:ds="http://schemas.openxmlformats.org/officeDocument/2006/customXml" ds:itemID="{36326985-55F0-47B3-833D-F9B280A185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e94169-021c-4578-be09-6006b4dea068"/>
    <ds:schemaRef ds:uri="8e537545-18ac-42cc-8f2a-89499299f0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168</vt:lpstr>
      <vt:lpstr>168 Net Metering</vt:lpstr>
    </vt:vector>
  </TitlesOfParts>
  <Company>The Dayton Power and Light Company,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Blevins</dc:creator>
  <cp:lastModifiedBy>David J Saliba</cp:lastModifiedBy>
  <cp:lastPrinted>2016-03-29T20:06:39Z</cp:lastPrinted>
  <dcterms:created xsi:type="dcterms:W3CDTF">2010-05-07T14:07:10Z</dcterms:created>
  <dcterms:modified xsi:type="dcterms:W3CDTF">2024-03-27T16:44:42Z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0x010100F335DA127EFEA643A071466D67462D58</vt:lpwstr>
  </property>
  <property fmtid="{D5CDD505-2E9C-101B-9397-08002B2CF9AE}" pid="3" name="MediaServiceImageTags">
    <vt:lpwstr/>
  </property>
</Properties>
</file>