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S:\Bill Calculators\Bill Calculator Guides\April 1, 2024\"/>
    </mc:Choice>
  </mc:AlternateContent>
  <xr:revisionPtr revIDLastSave="0" documentId="13_ncr:1_{78F8E544-A709-48DC-982A-155A9BCD9EE1}" xr6:coauthVersionLast="47" xr6:coauthVersionMax="47" xr10:uidLastSave="{00000000-0000-0000-0000-000000000000}"/>
  <workbookProtection workbookPassword="EE7D" lockStructure="1"/>
  <bookViews>
    <workbookView xWindow="-108" yWindow="-108" windowWidth="23256" windowHeight="12456" xr2:uid="{00000000-000D-0000-FFFF-FFFF00000000}"/>
  </bookViews>
  <sheets>
    <sheet name="187" sheetId="1" r:id="rId1"/>
    <sheet name="187 Net Metering"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0" i="2" l="1"/>
  <c r="C89" i="2"/>
  <c r="D36" i="2"/>
  <c r="D33" i="2" l="1"/>
  <c r="C37" i="2" l="1"/>
  <c r="C71" i="2"/>
  <c r="C62" i="2"/>
  <c r="D79" i="2"/>
  <c r="D67" i="2"/>
  <c r="D65" i="1"/>
  <c r="D68" i="1"/>
  <c r="D59" i="1"/>
  <c r="D62" i="1"/>
  <c r="D30" i="1"/>
  <c r="D47" i="1"/>
  <c r="D37" i="1"/>
  <c r="C34" i="2"/>
  <c r="C38" i="2"/>
  <c r="C45" i="2"/>
  <c r="C48" i="2"/>
  <c r="C51" i="2"/>
  <c r="C54" i="2"/>
  <c r="C57" i="2"/>
  <c r="C58" i="2"/>
  <c r="C59" i="2"/>
  <c r="C31" i="2"/>
  <c r="D30" i="2" s="1"/>
  <c r="D27" i="1"/>
  <c r="D103" i="1" s="1"/>
  <c r="D33" i="1"/>
  <c r="D41" i="1"/>
  <c r="D44" i="1"/>
  <c r="D50" i="1"/>
  <c r="D53" i="1"/>
  <c r="D75" i="1"/>
  <c r="D78" i="1"/>
  <c r="C98" i="2"/>
  <c r="B21" i="2"/>
  <c r="D64" i="2" s="1"/>
  <c r="C42" i="2"/>
  <c r="D93" i="1"/>
  <c r="D96" i="1" s="1"/>
  <c r="C41" i="2"/>
  <c r="D88" i="2" l="1"/>
  <c r="D47" i="2"/>
  <c r="D83" i="2"/>
  <c r="D53" i="2"/>
  <c r="D40" i="2"/>
  <c r="D97" i="2"/>
  <c r="D100" i="2" s="1"/>
  <c r="D112" i="2" s="1"/>
  <c r="D44" i="2"/>
  <c r="D50" i="2"/>
  <c r="D56" i="2"/>
  <c r="D108" i="1"/>
  <c r="D24" i="1"/>
  <c r="D107" i="2"/>
  <c r="D83" i="1"/>
  <c r="D61" i="2" l="1"/>
  <c r="D70" i="2"/>
  <c r="D27" i="2"/>
  <c r="D87" i="1"/>
  <c r="D89" i="1" s="1"/>
  <c r="D105" i="1" s="1"/>
  <c r="D91" i="2" l="1"/>
  <c r="D93" i="2" s="1"/>
  <c r="D102" i="2" s="1"/>
  <c r="D25" i="2" s="1"/>
  <c r="D98" i="1"/>
  <c r="D22" i="1" s="1"/>
  <c r="D104" i="1"/>
  <c r="D108" i="2" l="1"/>
  <c r="D109" i="2"/>
</calcChain>
</file>

<file path=xl/sharedStrings.xml><?xml version="1.0" encoding="utf-8"?>
<sst xmlns="http://schemas.openxmlformats.org/spreadsheetml/2006/main" count="140" uniqueCount="76">
  <si>
    <t>You will need:</t>
  </si>
  <si>
    <t xml:space="preserve">kWh Usage:    </t>
  </si>
  <si>
    <t xml:space="preserve">A flat fee per billing period of </t>
  </si>
  <si>
    <t>Multiply the Billed kWh by</t>
  </si>
  <si>
    <t xml:space="preserve">0 – 2,000 kWh multiply by </t>
  </si>
  <si>
    <t xml:space="preserve">2,001 – 15,000 kWh multiply by </t>
  </si>
  <si>
    <t xml:space="preserve">over 15,000 kWh multiply by </t>
  </si>
  <si>
    <t>kW (Demand):</t>
  </si>
  <si>
    <t>Multiply the Billed Demand by</t>
  </si>
  <si>
    <t xml:space="preserve">Multiply the Billed kWh by </t>
  </si>
  <si>
    <t>Multiply the Billed kVAR by</t>
  </si>
  <si>
    <t>Kvar:</t>
  </si>
  <si>
    <t>Total Distribution Charges</t>
  </si>
  <si>
    <t>Customer Charge</t>
  </si>
  <si>
    <t>For Rate 187 or Rate 167, you will need to find the total electric usage for the month and the billing demand. For customers on Rate 167, you will need to adjust your kWh plus 1%.</t>
  </si>
  <si>
    <t xml:space="preserve">Customer Charge (D20):  </t>
  </si>
  <si>
    <t>Non-Residential (Rate 187, 167)</t>
  </si>
  <si>
    <t xml:space="preserve">Other Delivery Charges: </t>
  </si>
  <si>
    <t xml:space="preserve">Other Delivery Charges Total: </t>
  </si>
  <si>
    <t xml:space="preserve">Supply Charges: </t>
  </si>
  <si>
    <t xml:space="preserve">Total Bill: </t>
  </si>
  <si>
    <t xml:space="preserve">Supply Total: </t>
  </si>
  <si>
    <t>Other Delivery Charges</t>
  </si>
  <si>
    <t>Supply Charges</t>
  </si>
  <si>
    <t>Supply Total:</t>
  </si>
  <si>
    <t>Total Bill</t>
  </si>
  <si>
    <t>Price - To - Compare</t>
  </si>
  <si>
    <t>Input usage below</t>
  </si>
  <si>
    <t>Standard Offer Rate (G10):</t>
  </si>
  <si>
    <t>A flat fee per billing period of</t>
  </si>
  <si>
    <t xml:space="preserve">% of Base Distribution </t>
  </si>
  <si>
    <t>Multiply the Billed kWh 0-833,000 by</t>
  </si>
  <si>
    <t>Multiply the Billed kWh &gt; 833,000 by</t>
  </si>
  <si>
    <t>Non-Residential (Rate 187, 167) - Net Metering</t>
  </si>
  <si>
    <t xml:space="preserve">As a Net Metering customer you will enter Actual and Received kWh located on your bill in addition to your kW demand.  For customers on Rate 167, you will need to adjust your Actual kWh up by 1% and adjust your Received kWh down by 1%.  Example: Actual usage 5000 X 101%=5050, Received usage 2000 kWh X 99% =1980 </t>
  </si>
  <si>
    <t xml:space="preserve">kWh Actual:    </t>
  </si>
  <si>
    <t>kWh Received:</t>
  </si>
  <si>
    <t>kWh Net:</t>
  </si>
  <si>
    <t>`</t>
  </si>
  <si>
    <t>How to Calculate Your AES Ohio Bill</t>
  </si>
  <si>
    <t>To verify you are on Rate 187 or Rate 167 - find the section near the middle of your AES Ohio bill labeled “Usage Detail", below which the column titled "Rate"  should read 187 or 167.</t>
  </si>
  <si>
    <t xml:space="preserve">Your monthly kWh Usage is to the left of your Rate number on your AES Ohio bill. See example below.           </t>
  </si>
  <si>
    <t>To verify that your bill is within a 25 to 35 day billing cycle (also on your AES Ohio bill) - under "Usage Detail" find the column titled "Billing Days".  NOTE:  this rate worksheet will not correctly calculate bills outside of the 25 to 35 day billing cycle. Net Metering customers see second tab for rates.</t>
  </si>
  <si>
    <t xml:space="preserve">AES Ohio Delivery Charges: </t>
  </si>
  <si>
    <t>How charges appear on AES Ohio's bill</t>
  </si>
  <si>
    <t>AES Ohio Delivery Total</t>
  </si>
  <si>
    <t>To verify that your bill is within a 25 to 35 day billing cycle (also on your AES Ohio bill) - under "Usage Detail" find the column titled "Billing Days".  NOTE:  this rate worksheet will not correctly calculate bills outside of the 25 to 35 day billing cycle.</t>
  </si>
  <si>
    <t xml:space="preserve">            Regulatory Compliance Rider  (D31):</t>
  </si>
  <si>
    <t xml:space="preserve">           Demand Charge (D20):</t>
  </si>
  <si>
    <t xml:space="preserve">           Universal Service Rider (D28):</t>
  </si>
  <si>
    <t xml:space="preserve">           Energy Efficiency Rider (D38):</t>
  </si>
  <si>
    <t xml:space="preserve">          Economic Development Rider (D39):</t>
  </si>
  <si>
    <t xml:space="preserve">          Excise Tax (D33):</t>
  </si>
  <si>
    <t xml:space="preserve">          Infrastructure Investment Rider (D29):</t>
  </si>
  <si>
    <t xml:space="preserve">         Customer Programs Rider (D37):</t>
  </si>
  <si>
    <t xml:space="preserve">         Distribution Investment Rider (D36):</t>
  </si>
  <si>
    <t xml:space="preserve">         Proactive Reliability Optimization Rider  (D32):</t>
  </si>
  <si>
    <t xml:space="preserve">           Solar Generation Fund Rider (D27):</t>
  </si>
  <si>
    <t xml:space="preserve">           Legacy Generation Rider (D40)</t>
  </si>
  <si>
    <t xml:space="preserve">           Economic Development Rider (D39):</t>
  </si>
  <si>
    <t xml:space="preserve">           Excise Tax (D33):</t>
  </si>
  <si>
    <t xml:space="preserve">           Infrastructure Investment Rider (D29):</t>
  </si>
  <si>
    <t xml:space="preserve">          Customer Programs Rider (D37):</t>
  </si>
  <si>
    <t xml:space="preserve">          Proactive Reliability Optimization Rider  (D32):</t>
  </si>
  <si>
    <t xml:space="preserve">          Distribution Investment Rider (D36):</t>
  </si>
  <si>
    <t xml:space="preserve">         Storm Cost Recovery Rider (D30):</t>
  </si>
  <si>
    <t xml:space="preserve">         Transmission Cost Recovery Rider - Non-bypassable (T8):</t>
  </si>
  <si>
    <t xml:space="preserve">        Tax Credit Savings Rider (D41):</t>
  </si>
  <si>
    <t xml:space="preserve">         Reserved for future use</t>
  </si>
  <si>
    <t xml:space="preserve">          Legacy Generation Rider (D40)</t>
  </si>
  <si>
    <t xml:space="preserve">          Solar Generation Fund Rider (D27):</t>
  </si>
  <si>
    <t xml:space="preserve">          Energy Efficiency Rider (D38):</t>
  </si>
  <si>
    <t xml:space="preserve">          Universal Service Rider (D28):</t>
  </si>
  <si>
    <t xml:space="preserve">          Demand Charge (D20):</t>
  </si>
  <si>
    <t xml:space="preserve">          Regulatory Compliance Rider  (D31):</t>
  </si>
  <si>
    <t xml:space="preserve">          Reserved for future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</si>
</sst>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quot;$&quot;#,##0.00"/>
    <numFmt numFmtId="165" formatCode="0.0000000"/>
    <numFmt numFmtId="166" formatCode="_(&quot;$&quot;* #,##0.0000000_);_(&quot;$&quot;* \(#,##0.0000000\);_(&quot;$&quot;* &quot;-&quot;??_);_(@_)"/>
    <numFmt numFmtId="167" formatCode="_(* #,##0.0_);_(* \(#,##0.0\);_(* &quot;-&quot;??_);_(@_)"/>
    <numFmt numFmtId="168" formatCode="_(&quot;$&quot;* #,##0.000_);_(&quot;$&quot;* \(#,##0.000\);_(&quot;$&quot;* &quot;-&quot;??_);_(@_)"/>
    <numFmt numFmtId="169" formatCode="#,##0.0;[Red]#,##0.0"/>
    <numFmt numFmtId="170" formatCode="#,##0;[Red]#,##0"/>
    <numFmt numFmtId="171" formatCode="0.0000%"/>
    <numFmt numFmtId="172" formatCode="0.00000%"/>
  </numFmts>
  <fonts count="17" x14ac:knownFonts="1">
    <font>
      <sz val="11"/>
      <color theme="1"/>
      <name val="Calibri"/>
      <family val="2"/>
      <scheme val="minor"/>
    </font>
    <font>
      <sz val="10"/>
      <name val="Arial"/>
      <family val="2"/>
    </font>
    <font>
      <sz val="10"/>
      <name val="Arial"/>
      <family val="2"/>
    </font>
    <font>
      <b/>
      <sz val="10"/>
      <name val="Arial"/>
      <family val="2"/>
    </font>
    <font>
      <sz val="12"/>
      <name val="Arial"/>
      <family val="2"/>
    </font>
    <font>
      <sz val="11"/>
      <color theme="1"/>
      <name val="Calibri"/>
      <family val="2"/>
      <scheme val="minor"/>
    </font>
    <font>
      <b/>
      <sz val="11"/>
      <color theme="1"/>
      <name val="Calibri"/>
      <family val="2"/>
      <scheme val="minor"/>
    </font>
    <font>
      <sz val="11"/>
      <color theme="1"/>
      <name val="Arial"/>
      <family val="2"/>
    </font>
    <font>
      <sz val="10"/>
      <color theme="1"/>
      <name val="Arial"/>
      <family val="2"/>
    </font>
    <font>
      <sz val="10"/>
      <color theme="4"/>
      <name val="Arial"/>
      <family val="2"/>
    </font>
    <font>
      <b/>
      <sz val="11"/>
      <color theme="1"/>
      <name val="Arial"/>
      <family val="2"/>
    </font>
    <font>
      <b/>
      <sz val="10"/>
      <color theme="1"/>
      <name val="Arial"/>
      <family val="2"/>
    </font>
    <font>
      <b/>
      <sz val="11"/>
      <color theme="0"/>
      <name val="Arial"/>
      <family val="2"/>
    </font>
    <font>
      <b/>
      <sz val="16"/>
      <color rgb="FF0054A4"/>
      <name val="Arial"/>
      <family val="2"/>
    </font>
    <font>
      <b/>
      <sz val="14"/>
      <color rgb="FF0054A4"/>
      <name val="Arial"/>
      <family val="2"/>
    </font>
    <font>
      <sz val="12"/>
      <color rgb="FFFF0000"/>
      <name val="Arial"/>
      <family val="2"/>
    </font>
    <font>
      <sz val="11"/>
      <name val="Arial"/>
      <family val="2"/>
    </font>
  </fonts>
  <fills count="5">
    <fill>
      <patternFill patternType="none"/>
    </fill>
    <fill>
      <patternFill patternType="gray125"/>
    </fill>
    <fill>
      <patternFill patternType="solid">
        <fgColor rgb="FFFFFF00"/>
        <bgColor indexed="64"/>
      </patternFill>
    </fill>
    <fill>
      <patternFill patternType="solid">
        <fgColor rgb="FF61973E"/>
        <bgColor indexed="64"/>
      </patternFill>
    </fill>
    <fill>
      <patternFill patternType="solid">
        <fgColor rgb="FF0054A4"/>
        <bgColor indexed="64"/>
      </patternFill>
    </fill>
  </fills>
  <borders count="32">
    <border>
      <left/>
      <right/>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thick">
        <color rgb="FF61973E"/>
      </right>
      <top/>
      <bottom/>
      <diagonal/>
    </border>
    <border>
      <left style="thick">
        <color rgb="FF61973E"/>
      </left>
      <right/>
      <top/>
      <bottom/>
      <diagonal/>
    </border>
    <border>
      <left style="thick">
        <color indexed="64"/>
      </left>
      <right/>
      <top style="thick">
        <color rgb="FF61973E"/>
      </top>
      <bottom/>
      <diagonal/>
    </border>
    <border>
      <left/>
      <right/>
      <top style="thick">
        <color rgb="FF61973E"/>
      </top>
      <bottom/>
      <diagonal/>
    </border>
    <border>
      <left/>
      <right style="thick">
        <color indexed="64"/>
      </right>
      <top style="thick">
        <color rgb="FF61973E"/>
      </top>
      <bottom/>
      <diagonal/>
    </border>
    <border>
      <left style="thick">
        <color rgb="FF0054A4"/>
      </left>
      <right/>
      <top/>
      <bottom/>
      <diagonal/>
    </border>
    <border>
      <left/>
      <right style="thick">
        <color rgb="FF0054A4"/>
      </right>
      <top/>
      <bottom/>
      <diagonal/>
    </border>
    <border>
      <left style="thick">
        <color rgb="FF0054A4"/>
      </left>
      <right/>
      <top/>
      <bottom style="thick">
        <color rgb="FF0054A4"/>
      </bottom>
      <diagonal/>
    </border>
    <border>
      <left/>
      <right/>
      <top/>
      <bottom style="thick">
        <color rgb="FF0054A4"/>
      </bottom>
      <diagonal/>
    </border>
    <border>
      <left/>
      <right style="thick">
        <color rgb="FF0054A4"/>
      </right>
      <top/>
      <bottom style="thick">
        <color rgb="FF0054A4"/>
      </bottom>
      <diagonal/>
    </border>
    <border>
      <left style="medium">
        <color theme="9"/>
      </left>
      <right style="medium">
        <color theme="9"/>
      </right>
      <top style="medium">
        <color theme="9"/>
      </top>
      <bottom style="medium">
        <color theme="9"/>
      </bottom>
      <diagonal/>
    </border>
    <border>
      <left style="medium">
        <color theme="9"/>
      </left>
      <right style="medium">
        <color theme="9"/>
      </right>
      <top/>
      <bottom/>
      <diagonal/>
    </border>
    <border>
      <left style="medium">
        <color theme="9"/>
      </left>
      <right style="medium">
        <color theme="9"/>
      </right>
      <top style="medium">
        <color theme="9"/>
      </top>
      <bottom/>
      <diagonal/>
    </border>
    <border>
      <left style="medium">
        <color theme="9"/>
      </left>
      <right style="medium">
        <color theme="9"/>
      </right>
      <top/>
      <bottom style="medium">
        <color theme="9"/>
      </bottom>
      <diagonal/>
    </border>
    <border>
      <left style="thick">
        <color rgb="FF0054A4"/>
      </left>
      <right/>
      <top style="thick">
        <color rgb="FF0054A4"/>
      </top>
      <bottom/>
      <diagonal/>
    </border>
    <border>
      <left/>
      <right/>
      <top style="thick">
        <color rgb="FF0054A4"/>
      </top>
      <bottom/>
      <diagonal/>
    </border>
    <border>
      <left/>
      <right style="thick">
        <color rgb="FF0054A4"/>
      </right>
      <top style="thick">
        <color rgb="FF0054A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
    <xf numFmtId="0" fontId="0" fillId="0" borderId="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116">
    <xf numFmtId="0" fontId="0" fillId="0" borderId="0" xfId="0"/>
    <xf numFmtId="0" fontId="6" fillId="0" borderId="0" xfId="0" applyFont="1" applyAlignment="1">
      <alignment horizontal="center"/>
    </xf>
    <xf numFmtId="0" fontId="0" fillId="0" borderId="0" xfId="0" applyAlignment="1">
      <alignment horizontal="left" indent="2"/>
    </xf>
    <xf numFmtId="0" fontId="6" fillId="0" borderId="0" xfId="0" applyFont="1"/>
    <xf numFmtId="0" fontId="0" fillId="0" borderId="0" xfId="0" applyAlignment="1">
      <alignment horizontal="left" indent="5"/>
    </xf>
    <xf numFmtId="0" fontId="7" fillId="0" borderId="0" xfId="0" applyFont="1"/>
    <xf numFmtId="0" fontId="8" fillId="0" borderId="0" xfId="0" applyFont="1"/>
    <xf numFmtId="167" fontId="9" fillId="0" borderId="0" xfId="1" applyNumberFormat="1" applyFont="1" applyBorder="1"/>
    <xf numFmtId="167" fontId="3" fillId="2" borderId="0" xfId="1" applyNumberFormat="1" applyFont="1" applyFill="1" applyBorder="1"/>
    <xf numFmtId="0" fontId="8" fillId="2" borderId="0" xfId="0" applyFont="1" applyFill="1"/>
    <xf numFmtId="167" fontId="3" fillId="0" borderId="0" xfId="1" applyNumberFormat="1" applyFont="1" applyBorder="1"/>
    <xf numFmtId="168" fontId="8" fillId="2" borderId="0" xfId="0" applyNumberFormat="1" applyFont="1" applyFill="1"/>
    <xf numFmtId="0" fontId="10" fillId="0" borderId="0" xfId="0" applyFont="1"/>
    <xf numFmtId="44" fontId="7" fillId="0" borderId="0" xfId="4" applyFont="1"/>
    <xf numFmtId="44" fontId="8" fillId="0" borderId="0" xfId="4" applyFont="1" applyFill="1" applyBorder="1"/>
    <xf numFmtId="166" fontId="8" fillId="0" borderId="0" xfId="0" applyNumberFormat="1" applyFont="1"/>
    <xf numFmtId="166" fontId="8" fillId="0" borderId="0" xfId="4" applyNumberFormat="1" applyFont="1" applyFill="1" applyBorder="1"/>
    <xf numFmtId="0" fontId="11" fillId="0" borderId="0" xfId="0" applyFont="1"/>
    <xf numFmtId="0" fontId="10" fillId="0" borderId="3" xfId="0" applyFont="1" applyBorder="1"/>
    <xf numFmtId="0" fontId="10" fillId="0" borderId="4" xfId="0" applyFont="1" applyBorder="1"/>
    <xf numFmtId="0" fontId="7" fillId="0" borderId="4" xfId="0" applyFont="1" applyBorder="1"/>
    <xf numFmtId="44" fontId="10" fillId="0" borderId="5" xfId="4" applyFont="1" applyBorder="1"/>
    <xf numFmtId="0" fontId="10" fillId="3" borderId="0" xfId="0" applyFont="1" applyFill="1"/>
    <xf numFmtId="0" fontId="7" fillId="3" borderId="0" xfId="0" applyFont="1" applyFill="1"/>
    <xf numFmtId="44" fontId="7" fillId="3" borderId="0" xfId="4" applyFont="1" applyFill="1" applyBorder="1"/>
    <xf numFmtId="44" fontId="8" fillId="0" borderId="7" xfId="4" applyFont="1" applyBorder="1"/>
    <xf numFmtId="0" fontId="11" fillId="0" borderId="8" xfId="0" applyFont="1" applyBorder="1" applyAlignment="1">
      <alignment horizontal="left" indent="4"/>
    </xf>
    <xf numFmtId="0" fontId="10" fillId="0" borderId="8" xfId="0" applyFont="1" applyBorder="1" applyAlignment="1">
      <alignment horizontal="left"/>
    </xf>
    <xf numFmtId="166" fontId="7" fillId="0" borderId="0" xfId="0" applyNumberFormat="1" applyFont="1"/>
    <xf numFmtId="44" fontId="10" fillId="0" borderId="7" xfId="4" applyFont="1" applyBorder="1"/>
    <xf numFmtId="0" fontId="7" fillId="0" borderId="9" xfId="0" applyFont="1" applyBorder="1"/>
    <xf numFmtId="0" fontId="7" fillId="0" borderId="10" xfId="0" applyFont="1" applyBorder="1"/>
    <xf numFmtId="166" fontId="7" fillId="0" borderId="10" xfId="0" applyNumberFormat="1" applyFont="1" applyBorder="1"/>
    <xf numFmtId="44" fontId="7" fillId="0" borderId="11" xfId="4" applyFont="1" applyBorder="1"/>
    <xf numFmtId="0" fontId="7" fillId="0" borderId="12" xfId="0" applyFont="1" applyBorder="1"/>
    <xf numFmtId="0" fontId="8" fillId="0" borderId="13" xfId="0" applyFont="1" applyBorder="1"/>
    <xf numFmtId="0" fontId="10" fillId="0" borderId="12" xfId="0" applyFont="1" applyBorder="1"/>
    <xf numFmtId="0" fontId="10" fillId="0" borderId="0" xfId="0" applyFont="1" applyAlignment="1">
      <alignment horizontal="left"/>
    </xf>
    <xf numFmtId="0" fontId="8" fillId="0" borderId="12" xfId="0" applyFont="1" applyBorder="1" applyAlignment="1">
      <alignment horizontal="left" indent="5"/>
    </xf>
    <xf numFmtId="44" fontId="8" fillId="0" borderId="13" xfId="4" applyFont="1" applyFill="1" applyBorder="1"/>
    <xf numFmtId="0" fontId="11" fillId="0" borderId="12" xfId="0" applyFont="1" applyBorder="1" applyAlignment="1">
      <alignment horizontal="left" indent="5"/>
    </xf>
    <xf numFmtId="44" fontId="11" fillId="0" borderId="13" xfId="4" applyFont="1" applyFill="1" applyBorder="1"/>
    <xf numFmtId="0" fontId="7" fillId="0" borderId="12" xfId="0" applyFont="1" applyBorder="1" applyAlignment="1">
      <alignment horizontal="left" indent="13"/>
    </xf>
    <xf numFmtId="0" fontId="10" fillId="0" borderId="12" xfId="0" applyFont="1" applyBorder="1" applyAlignment="1">
      <alignment horizontal="left"/>
    </xf>
    <xf numFmtId="0" fontId="11" fillId="0" borderId="14" xfId="0" applyFont="1" applyBorder="1" applyAlignment="1">
      <alignment horizontal="left" indent="5"/>
    </xf>
    <xf numFmtId="0" fontId="7" fillId="0" borderId="15" xfId="0" applyFont="1" applyBorder="1"/>
    <xf numFmtId="44" fontId="11" fillId="0" borderId="16" xfId="4" applyFont="1" applyFill="1" applyBorder="1"/>
    <xf numFmtId="0" fontId="11" fillId="0" borderId="0" xfId="0" applyFont="1" applyAlignment="1">
      <alignment horizontal="center"/>
    </xf>
    <xf numFmtId="0" fontId="12" fillId="3" borderId="0" xfId="0" applyFont="1" applyFill="1"/>
    <xf numFmtId="169" fontId="1" fillId="0" borderId="17" xfId="1" applyNumberFormat="1" applyFont="1" applyBorder="1" applyProtection="1">
      <protection locked="0"/>
    </xf>
    <xf numFmtId="169" fontId="1" fillId="0" borderId="18" xfId="1" applyNumberFormat="1" applyFont="1" applyBorder="1" applyProtection="1">
      <protection locked="0"/>
    </xf>
    <xf numFmtId="170" fontId="1" fillId="0" borderId="17" xfId="1" applyNumberFormat="1" applyFont="1" applyBorder="1" applyProtection="1">
      <protection locked="0"/>
    </xf>
    <xf numFmtId="44" fontId="8" fillId="0" borderId="0" xfId="0" applyNumberFormat="1" applyFont="1"/>
    <xf numFmtId="0" fontId="8" fillId="0" borderId="8" xfId="0" applyFont="1" applyBorder="1" applyAlignment="1">
      <alignment horizontal="left" indent="4"/>
    </xf>
    <xf numFmtId="44" fontId="10" fillId="0" borderId="0" xfId="4" applyFont="1" applyBorder="1"/>
    <xf numFmtId="44" fontId="11" fillId="2" borderId="0" xfId="0" applyNumberFormat="1" applyFont="1" applyFill="1"/>
    <xf numFmtId="169" fontId="4" fillId="0" borderId="17" xfId="1" applyNumberFormat="1" applyFont="1" applyBorder="1" applyProtection="1">
      <protection locked="0"/>
    </xf>
    <xf numFmtId="170" fontId="4" fillId="0" borderId="19" xfId="1" applyNumberFormat="1" applyFont="1" applyBorder="1" applyProtection="1">
      <protection locked="0"/>
    </xf>
    <xf numFmtId="170" fontId="4" fillId="0" borderId="17" xfId="1" applyNumberFormat="1" applyFont="1" applyBorder="1" applyProtection="1"/>
    <xf numFmtId="169" fontId="4" fillId="0" borderId="20" xfId="1" applyNumberFormat="1" applyFont="1" applyBorder="1" applyProtection="1">
      <protection locked="0"/>
    </xf>
    <xf numFmtId="0" fontId="7" fillId="0" borderId="1" xfId="0" applyFont="1" applyBorder="1"/>
    <xf numFmtId="44" fontId="7" fillId="0" borderId="0" xfId="4" applyFont="1" applyFill="1" applyBorder="1"/>
    <xf numFmtId="166" fontId="7" fillId="0" borderId="0" xfId="4" applyNumberFormat="1" applyFont="1" applyFill="1" applyBorder="1"/>
    <xf numFmtId="171" fontId="7" fillId="0" borderId="0" xfId="8" applyNumberFormat="1" applyFont="1" applyFill="1" applyBorder="1"/>
    <xf numFmtId="164" fontId="7" fillId="0" borderId="0" xfId="8" applyNumberFormat="1" applyFont="1" applyFill="1" applyBorder="1"/>
    <xf numFmtId="172" fontId="7" fillId="0" borderId="0" xfId="8" applyNumberFormat="1" applyFont="1" applyFill="1" applyBorder="1"/>
    <xf numFmtId="0" fontId="7" fillId="0" borderId="8" xfId="0" applyFont="1" applyBorder="1" applyAlignment="1">
      <alignment horizontal="left" indent="4"/>
    </xf>
    <xf numFmtId="44" fontId="7" fillId="0" borderId="7" xfId="4" applyFont="1" applyBorder="1"/>
    <xf numFmtId="0" fontId="10" fillId="0" borderId="8" xfId="0" applyFont="1" applyBorder="1" applyAlignment="1">
      <alignment horizontal="left" indent="4"/>
    </xf>
    <xf numFmtId="0" fontId="7" fillId="0" borderId="13" xfId="0" applyFont="1" applyBorder="1"/>
    <xf numFmtId="0" fontId="7" fillId="0" borderId="12" xfId="0" applyFont="1" applyBorder="1" applyAlignment="1">
      <alignment horizontal="left" indent="5"/>
    </xf>
    <xf numFmtId="44" fontId="7" fillId="0" borderId="13" xfId="4" applyFont="1" applyFill="1" applyBorder="1"/>
    <xf numFmtId="0" fontId="10" fillId="0" borderId="12" xfId="0" applyFont="1" applyBorder="1" applyAlignment="1">
      <alignment horizontal="left" indent="5"/>
    </xf>
    <xf numFmtId="44" fontId="10" fillId="0" borderId="13" xfId="4" applyFont="1" applyFill="1" applyBorder="1"/>
    <xf numFmtId="0" fontId="10" fillId="0" borderId="14" xfId="0" applyFont="1" applyBorder="1" applyAlignment="1">
      <alignment horizontal="left" indent="5"/>
    </xf>
    <xf numFmtId="44" fontId="10" fillId="0" borderId="16" xfId="4" applyFont="1" applyFill="1" applyBorder="1"/>
    <xf numFmtId="0" fontId="10" fillId="0" borderId="6" xfId="0" applyFont="1" applyBorder="1"/>
    <xf numFmtId="0" fontId="10" fillId="0" borderId="1" xfId="0" applyFont="1" applyBorder="1"/>
    <xf numFmtId="0" fontId="7" fillId="0" borderId="2" xfId="0" applyFont="1" applyBorder="1"/>
    <xf numFmtId="0" fontId="10" fillId="0" borderId="24" xfId="0" applyFont="1" applyBorder="1" applyAlignment="1">
      <alignment horizontal="left" indent="2"/>
    </xf>
    <xf numFmtId="0" fontId="7" fillId="0" borderId="25" xfId="0" applyFont="1" applyBorder="1"/>
    <xf numFmtId="44" fontId="7" fillId="0" borderId="26" xfId="4" applyFont="1" applyBorder="1"/>
    <xf numFmtId="0" fontId="7" fillId="0" borderId="27" xfId="0" applyFont="1" applyBorder="1" applyAlignment="1">
      <alignment horizontal="left" indent="2"/>
    </xf>
    <xf numFmtId="164" fontId="7" fillId="0" borderId="28" xfId="0" applyNumberFormat="1" applyFont="1" applyBorder="1"/>
    <xf numFmtId="0" fontId="10" fillId="0" borderId="27" xfId="0" applyFont="1" applyBorder="1" applyAlignment="1">
      <alignment horizontal="left" indent="2"/>
    </xf>
    <xf numFmtId="165" fontId="7" fillId="0" borderId="0" xfId="0" applyNumberFormat="1" applyFont="1"/>
    <xf numFmtId="0" fontId="7" fillId="0" borderId="27" xfId="0" applyFont="1" applyBorder="1" applyAlignment="1">
      <alignment horizontal="left"/>
    </xf>
    <xf numFmtId="0" fontId="10" fillId="0" borderId="27" xfId="0" applyFont="1" applyBorder="1" applyAlignment="1">
      <alignment horizontal="left"/>
    </xf>
    <xf numFmtId="44" fontId="7" fillId="0" borderId="0" xfId="0" applyNumberFormat="1" applyFont="1"/>
    <xf numFmtId="44" fontId="7" fillId="0" borderId="28" xfId="4" applyFont="1" applyBorder="1"/>
    <xf numFmtId="0" fontId="7" fillId="0" borderId="27" xfId="0" applyFont="1" applyBorder="1" applyAlignment="1">
      <alignment horizontal="left" indent="4"/>
    </xf>
    <xf numFmtId="0" fontId="16" fillId="0" borderId="0" xfId="0" applyFont="1"/>
    <xf numFmtId="0" fontId="7" fillId="0" borderId="27" xfId="0" applyFont="1" applyBorder="1"/>
    <xf numFmtId="164" fontId="10" fillId="0" borderId="28" xfId="4" applyNumberFormat="1" applyFont="1" applyBorder="1"/>
    <xf numFmtId="0" fontId="10" fillId="0" borderId="29" xfId="0" applyFont="1" applyBorder="1"/>
    <xf numFmtId="0" fontId="10" fillId="0" borderId="30" xfId="0" applyFont="1" applyBorder="1"/>
    <xf numFmtId="0" fontId="7" fillId="0" borderId="30" xfId="0" applyFont="1" applyBorder="1"/>
    <xf numFmtId="164" fontId="10" fillId="0" borderId="31" xfId="4" applyNumberFormat="1" applyFont="1" applyBorder="1"/>
    <xf numFmtId="0" fontId="8" fillId="0" borderId="25" xfId="0" applyFont="1" applyBorder="1"/>
    <xf numFmtId="44" fontId="8" fillId="0" borderId="26" xfId="4" applyFont="1" applyBorder="1"/>
    <xf numFmtId="164" fontId="8" fillId="0" borderId="28" xfId="0" applyNumberFormat="1" applyFont="1" applyBorder="1"/>
    <xf numFmtId="165" fontId="8" fillId="0" borderId="0" xfId="0" applyNumberFormat="1" applyFont="1"/>
    <xf numFmtId="44" fontId="8" fillId="0" borderId="28" xfId="4" applyFont="1" applyBorder="1"/>
    <xf numFmtId="0" fontId="8" fillId="0" borderId="27" xfId="0" applyFont="1" applyBorder="1" applyAlignment="1">
      <alignment horizontal="left" indent="4"/>
    </xf>
    <xf numFmtId="0" fontId="8" fillId="0" borderId="27" xfId="0" applyFont="1" applyBorder="1"/>
    <xf numFmtId="0" fontId="11" fillId="0" borderId="27" xfId="0" applyFont="1" applyBorder="1" applyAlignment="1">
      <alignment horizontal="left" indent="2"/>
    </xf>
    <xf numFmtId="164" fontId="11" fillId="0" borderId="28" xfId="4" applyNumberFormat="1" applyFont="1" applyBorder="1"/>
    <xf numFmtId="0" fontId="8" fillId="0" borderId="0" xfId="0" applyFont="1" applyAlignment="1">
      <alignment horizontal="center"/>
    </xf>
    <xf numFmtId="0" fontId="12" fillId="4" borderId="21" xfId="0" applyFont="1" applyFill="1" applyBorder="1" applyAlignment="1">
      <alignment horizontal="center"/>
    </xf>
    <xf numFmtId="0" fontId="12" fillId="4" borderId="22" xfId="0" applyFont="1" applyFill="1" applyBorder="1" applyAlignment="1">
      <alignment horizontal="center"/>
    </xf>
    <xf numFmtId="0" fontId="12" fillId="4" borderId="23" xfId="0" applyFont="1" applyFill="1" applyBorder="1" applyAlignment="1">
      <alignment horizontal="center"/>
    </xf>
    <xf numFmtId="0" fontId="13" fillId="0" borderId="0" xfId="0" applyFont="1" applyAlignment="1">
      <alignment horizontal="center"/>
    </xf>
    <xf numFmtId="0" fontId="8" fillId="0" borderId="0" xfId="0" applyFont="1" applyAlignment="1">
      <alignment horizontal="left"/>
    </xf>
    <xf numFmtId="0" fontId="8" fillId="0" borderId="0" xfId="0" applyFont="1" applyAlignment="1">
      <alignment horizontal="left" wrapText="1"/>
    </xf>
    <xf numFmtId="0" fontId="14" fillId="0" borderId="0" xfId="0" applyFont="1" applyAlignment="1">
      <alignment horizontal="center"/>
    </xf>
    <xf numFmtId="0" fontId="15" fillId="0" borderId="0" xfId="0" applyFont="1" applyAlignment="1">
      <alignment horizontal="left" vertical="top" wrapText="1"/>
    </xf>
  </cellXfs>
  <cellStyles count="11">
    <cellStyle name="Comma" xfId="1" builtinId="3"/>
    <cellStyle name="Comma 2" xfId="2" xr:uid="{00000000-0005-0000-0000-000001000000}"/>
    <cellStyle name="Comma 3" xfId="3" xr:uid="{00000000-0005-0000-0000-000002000000}"/>
    <cellStyle name="Currency" xfId="4" builtinId="4"/>
    <cellStyle name="Currency 2" xfId="5" xr:uid="{00000000-0005-0000-0000-000004000000}"/>
    <cellStyle name="Currency 3" xfId="6" xr:uid="{00000000-0005-0000-0000-000005000000}"/>
    <cellStyle name="Normal" xfId="0" builtinId="0"/>
    <cellStyle name="Normal 2" xfId="7" xr:uid="{00000000-0005-0000-0000-000007000000}"/>
    <cellStyle name="Percent" xfId="8" builtinId="5"/>
    <cellStyle name="Percent 2" xfId="9" xr:uid="{00000000-0005-0000-0000-000009000000}"/>
    <cellStyle name="Percent 3" xfId="10" xr:uid="{00000000-0005-0000-0000-00000A000000}"/>
  </cellStyles>
  <dxfs count="4">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107950</xdr:colOff>
      <xdr:row>6</xdr:row>
      <xdr:rowOff>57150</xdr:rowOff>
    </xdr:from>
    <xdr:to>
      <xdr:col>4</xdr:col>
      <xdr:colOff>444500</xdr:colOff>
      <xdr:row>14</xdr:row>
      <xdr:rowOff>76200</xdr:rowOff>
    </xdr:to>
    <xdr:pic>
      <xdr:nvPicPr>
        <xdr:cNvPr id="1111" name="Picture 2">
          <a:extLst>
            <a:ext uri="{FF2B5EF4-FFF2-40B4-BE49-F238E27FC236}">
              <a16:creationId xmlns:a16="http://schemas.microsoft.com/office/drawing/2014/main" id="{473EFFA0-8467-F6E2-C63E-C0A156E57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950" y="1447800"/>
          <a:ext cx="7924800"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107950</xdr:colOff>
      <xdr:row>7</xdr:row>
      <xdr:rowOff>203200</xdr:rowOff>
    </xdr:from>
    <xdr:to>
      <xdr:col>3</xdr:col>
      <xdr:colOff>311150</xdr:colOff>
      <xdr:row>13</xdr:row>
      <xdr:rowOff>139700</xdr:rowOff>
    </xdr:to>
    <xdr:pic>
      <xdr:nvPicPr>
        <xdr:cNvPr id="2114" name="Picture 2">
          <a:extLst>
            <a:ext uri="{FF2B5EF4-FFF2-40B4-BE49-F238E27FC236}">
              <a16:creationId xmlns:a16="http://schemas.microsoft.com/office/drawing/2014/main" id="{6A200D23-E3EB-6CEE-CB3A-E27783AE2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950" y="2222500"/>
          <a:ext cx="6858000" cy="1098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3"/>
  <sheetViews>
    <sheetView showGridLines="0" showRowColHeaders="0" tabSelected="1" showRuler="0" view="pageLayout" topLeftCell="A57" zoomScale="90" zoomScaleNormal="100" zoomScaleSheetLayoutView="80" zoomScalePageLayoutView="90" workbookViewId="0">
      <selection activeCell="B18" sqref="B18"/>
    </sheetView>
  </sheetViews>
  <sheetFormatPr defaultColWidth="9.109375" defaultRowHeight="14.4" x14ac:dyDescent="0.3"/>
  <cols>
    <col min="1" max="1" width="29.6640625" customWidth="1"/>
    <col min="2" max="2" width="50" customWidth="1"/>
    <col min="3" max="3" width="15.5546875" customWidth="1"/>
    <col min="4" max="4" width="13.33203125" customWidth="1"/>
    <col min="5" max="5" width="53" customWidth="1"/>
    <col min="6" max="6" width="53.6640625" bestFit="1" customWidth="1"/>
  </cols>
  <sheetData>
    <row r="1" spans="1:5" ht="21" x14ac:dyDescent="0.4">
      <c r="A1" s="111" t="s">
        <v>39</v>
      </c>
      <c r="B1" s="111"/>
      <c r="C1" s="111"/>
      <c r="D1" s="111"/>
      <c r="E1" s="1"/>
    </row>
    <row r="2" spans="1:5" ht="17.399999999999999" x14ac:dyDescent="0.3">
      <c r="A2" s="114" t="s">
        <v>16</v>
      </c>
      <c r="B2" s="114"/>
      <c r="C2" s="114"/>
      <c r="D2" s="114"/>
      <c r="E2" s="1"/>
    </row>
    <row r="3" spans="1:5" x14ac:dyDescent="0.3">
      <c r="A3" s="5"/>
      <c r="B3" s="5"/>
      <c r="C3" s="5"/>
      <c r="D3" s="5"/>
    </row>
    <row r="4" spans="1:5" x14ac:dyDescent="0.3">
      <c r="A4" s="6" t="s">
        <v>0</v>
      </c>
      <c r="B4" s="6"/>
      <c r="C4" s="6"/>
      <c r="D4" s="6"/>
    </row>
    <row r="5" spans="1:5" ht="27.75" customHeight="1" x14ac:dyDescent="0.3">
      <c r="A5" s="113" t="s">
        <v>40</v>
      </c>
      <c r="B5" s="113"/>
      <c r="C5" s="113"/>
      <c r="D5" s="113"/>
      <c r="E5" s="2"/>
    </row>
    <row r="6" spans="1:5" ht="15" customHeight="1" x14ac:dyDescent="0.3">
      <c r="A6" s="112" t="s">
        <v>41</v>
      </c>
      <c r="B6" s="112"/>
      <c r="C6" s="112"/>
      <c r="D6" s="112"/>
      <c r="E6" s="2"/>
    </row>
    <row r="7" spans="1:5" ht="15" customHeight="1" x14ac:dyDescent="0.3">
      <c r="A7" s="107"/>
      <c r="B7" s="107"/>
      <c r="C7" s="107"/>
      <c r="D7" s="107"/>
      <c r="E7" s="2"/>
    </row>
    <row r="8" spans="1:5" ht="15" customHeight="1" x14ac:dyDescent="0.3">
      <c r="A8" s="107"/>
      <c r="B8" s="107"/>
      <c r="C8" s="107"/>
      <c r="D8" s="107"/>
      <c r="E8" s="2"/>
    </row>
    <row r="9" spans="1:5" ht="15" customHeight="1" x14ac:dyDescent="0.3">
      <c r="A9" s="107"/>
      <c r="B9" s="107"/>
      <c r="C9" s="107"/>
      <c r="D9" s="107"/>
      <c r="E9" s="2"/>
    </row>
    <row r="10" spans="1:5" ht="15" customHeight="1" x14ac:dyDescent="0.3">
      <c r="A10" s="107"/>
      <c r="B10" s="107"/>
      <c r="C10" s="107"/>
      <c r="D10" s="107"/>
      <c r="E10" s="2"/>
    </row>
    <row r="11" spans="1:5" ht="15" customHeight="1" x14ac:dyDescent="0.3">
      <c r="A11" s="107"/>
      <c r="B11" s="107"/>
      <c r="C11" s="107"/>
      <c r="D11" s="107"/>
      <c r="E11" s="2"/>
    </row>
    <row r="12" spans="1:5" ht="15" customHeight="1" x14ac:dyDescent="0.3">
      <c r="A12" s="107"/>
      <c r="B12" s="107"/>
      <c r="C12" s="107"/>
      <c r="D12" s="107"/>
      <c r="E12" s="2"/>
    </row>
    <row r="13" spans="1:5" ht="15" customHeight="1" x14ac:dyDescent="0.3">
      <c r="A13" s="107"/>
      <c r="B13" s="107"/>
      <c r="C13" s="107"/>
      <c r="D13" s="107"/>
      <c r="E13" s="2"/>
    </row>
    <row r="14" spans="1:5" ht="15" customHeight="1" x14ac:dyDescent="0.3">
      <c r="A14" s="107"/>
      <c r="B14" s="107"/>
      <c r="C14" s="107"/>
      <c r="D14" s="107"/>
      <c r="E14" s="2"/>
    </row>
    <row r="15" spans="1:5" ht="44.25" customHeight="1" x14ac:dyDescent="0.3">
      <c r="A15" s="113" t="s">
        <v>42</v>
      </c>
      <c r="B15" s="113"/>
      <c r="C15" s="113"/>
      <c r="D15" s="113"/>
      <c r="E15" s="2"/>
    </row>
    <row r="16" spans="1:5" ht="27" customHeight="1" x14ac:dyDescent="0.3">
      <c r="A16" s="113" t="s">
        <v>14</v>
      </c>
      <c r="B16" s="113"/>
      <c r="C16" s="113"/>
      <c r="D16" s="113"/>
    </row>
    <row r="17" spans="1:5" ht="15" thickBot="1" x14ac:dyDescent="0.35">
      <c r="A17" s="6"/>
      <c r="B17" s="47" t="s">
        <v>27</v>
      </c>
      <c r="C17" s="6"/>
      <c r="D17" s="6"/>
    </row>
    <row r="18" spans="1:5" ht="15" thickBot="1" x14ac:dyDescent="0.35">
      <c r="A18" s="6" t="s">
        <v>1</v>
      </c>
      <c r="B18" s="51">
        <v>200000</v>
      </c>
      <c r="C18" s="6"/>
      <c r="D18" s="6"/>
    </row>
    <row r="19" spans="1:5" ht="15" thickBot="1" x14ac:dyDescent="0.35">
      <c r="A19" s="6" t="s">
        <v>7</v>
      </c>
      <c r="B19" s="50">
        <v>500</v>
      </c>
      <c r="C19" s="6"/>
      <c r="D19" s="52"/>
    </row>
    <row r="20" spans="1:5" ht="15" thickBot="1" x14ac:dyDescent="0.35">
      <c r="A20" s="6" t="s">
        <v>11</v>
      </c>
      <c r="B20" s="49">
        <v>242.2</v>
      </c>
      <c r="C20" s="6"/>
      <c r="D20" s="52"/>
      <c r="E20" s="3"/>
    </row>
    <row r="21" spans="1:5" x14ac:dyDescent="0.3">
      <c r="A21" s="6"/>
      <c r="B21" s="7"/>
      <c r="C21" s="6"/>
      <c r="D21" s="6"/>
      <c r="E21" s="3"/>
    </row>
    <row r="22" spans="1:5" x14ac:dyDescent="0.3">
      <c r="A22" s="6"/>
      <c r="B22" s="8" t="s">
        <v>25</v>
      </c>
      <c r="C22" s="9"/>
      <c r="D22" s="55">
        <f>D98</f>
        <v>26382.84</v>
      </c>
      <c r="E22" s="3"/>
    </row>
    <row r="23" spans="1:5" x14ac:dyDescent="0.3">
      <c r="A23" s="6"/>
      <c r="B23" s="10"/>
      <c r="C23" s="6"/>
      <c r="D23" s="6"/>
      <c r="E23" s="3"/>
    </row>
    <row r="24" spans="1:5" x14ac:dyDescent="0.3">
      <c r="A24" s="6"/>
      <c r="B24" s="8" t="s">
        <v>26</v>
      </c>
      <c r="C24" s="9"/>
      <c r="D24" s="11">
        <f>$D$96/$B$18</f>
        <v>0.10530149999999999</v>
      </c>
      <c r="E24" s="3"/>
    </row>
    <row r="25" spans="1:5" ht="15" thickBot="1" x14ac:dyDescent="0.35">
      <c r="A25" s="6"/>
      <c r="B25" s="6"/>
      <c r="C25" s="6"/>
      <c r="D25" s="6"/>
    </row>
    <row r="26" spans="1:5" ht="15.6" thickTop="1" thickBot="1" x14ac:dyDescent="0.35">
      <c r="A26" s="76" t="s">
        <v>43</v>
      </c>
      <c r="B26" s="77"/>
      <c r="C26" s="60"/>
      <c r="D26" s="78"/>
    </row>
    <row r="27" spans="1:5" x14ac:dyDescent="0.3">
      <c r="A27" s="79" t="s">
        <v>15</v>
      </c>
      <c r="B27" s="80"/>
      <c r="C27" s="80"/>
      <c r="D27" s="81">
        <f>ROUND(C28,2)</f>
        <v>275.72000000000003</v>
      </c>
    </row>
    <row r="28" spans="1:5" x14ac:dyDescent="0.3">
      <c r="A28" s="82"/>
      <c r="B28" s="5" t="s">
        <v>2</v>
      </c>
      <c r="C28" s="61">
        <v>275.72000000000003</v>
      </c>
      <c r="D28" s="83"/>
    </row>
    <row r="29" spans="1:5" x14ac:dyDescent="0.3">
      <c r="A29" s="84" t="s">
        <v>17</v>
      </c>
      <c r="B29" s="5"/>
      <c r="C29" s="85"/>
      <c r="D29" s="83"/>
    </row>
    <row r="30" spans="1:5" x14ac:dyDescent="0.3">
      <c r="A30" s="86" t="s">
        <v>74</v>
      </c>
      <c r="B30" s="5"/>
      <c r="C30" s="85"/>
      <c r="D30" s="83">
        <f>ROUND(C31,2)</f>
        <v>288.55</v>
      </c>
    </row>
    <row r="31" spans="1:5" x14ac:dyDescent="0.3">
      <c r="A31" s="87"/>
      <c r="B31" s="5" t="s">
        <v>2</v>
      </c>
      <c r="C31" s="88">
        <v>288.55</v>
      </c>
      <c r="D31" s="83"/>
    </row>
    <row r="32" spans="1:5" x14ac:dyDescent="0.3">
      <c r="A32" s="84"/>
      <c r="B32" s="5"/>
      <c r="C32" s="85"/>
      <c r="D32" s="83"/>
    </row>
    <row r="33" spans="1:4" x14ac:dyDescent="0.3">
      <c r="A33" s="86" t="s">
        <v>73</v>
      </c>
      <c r="B33" s="5"/>
      <c r="C33" s="5"/>
      <c r="D33" s="89">
        <f>ROUND(C34*$B$19,2)+ROUND(C35*$B$20,2)</f>
        <v>1874.59</v>
      </c>
    </row>
    <row r="34" spans="1:4" x14ac:dyDescent="0.3">
      <c r="A34" s="90"/>
      <c r="B34" s="5" t="s">
        <v>8</v>
      </c>
      <c r="C34" s="28">
        <v>3.3431972999999999</v>
      </c>
      <c r="D34" s="89"/>
    </row>
    <row r="35" spans="1:4" x14ac:dyDescent="0.3">
      <c r="A35" s="86"/>
      <c r="B35" s="5" t="s">
        <v>10</v>
      </c>
      <c r="C35" s="28">
        <v>0.83809480000000003</v>
      </c>
      <c r="D35" s="89"/>
    </row>
    <row r="36" spans="1:4" x14ac:dyDescent="0.3">
      <c r="A36" s="86"/>
      <c r="B36" s="5"/>
      <c r="C36" s="28"/>
      <c r="D36" s="89"/>
    </row>
    <row r="37" spans="1:4" x14ac:dyDescent="0.3">
      <c r="A37" s="86" t="s">
        <v>72</v>
      </c>
      <c r="B37" s="5"/>
      <c r="C37" s="85"/>
      <c r="D37" s="89">
        <f>IF(B18&lt;833000,ROUND(C38*$B$18,2),ROUND(((833000)*C38)+((B18-833000)*C39),2))</f>
        <v>294.8</v>
      </c>
    </row>
    <row r="38" spans="1:4" x14ac:dyDescent="0.3">
      <c r="A38" s="86"/>
      <c r="B38" s="5" t="s">
        <v>31</v>
      </c>
      <c r="C38" s="28">
        <v>1.474E-3</v>
      </c>
      <c r="D38" s="83"/>
    </row>
    <row r="39" spans="1:4" x14ac:dyDescent="0.3">
      <c r="A39" s="86"/>
      <c r="B39" s="5" t="s">
        <v>32</v>
      </c>
      <c r="C39" s="28">
        <v>5.6999999999999998E-4</v>
      </c>
      <c r="D39" s="83"/>
    </row>
    <row r="40" spans="1:4" x14ac:dyDescent="0.3">
      <c r="A40" s="86"/>
      <c r="B40" s="5"/>
      <c r="C40" s="5"/>
      <c r="D40" s="83"/>
    </row>
    <row r="41" spans="1:4" x14ac:dyDescent="0.3">
      <c r="A41" s="86" t="s">
        <v>71</v>
      </c>
      <c r="B41" s="5"/>
      <c r="C41" s="5"/>
      <c r="D41" s="89">
        <f>ROUND(C42*$B$18,2)</f>
        <v>0</v>
      </c>
    </row>
    <row r="42" spans="1:4" x14ac:dyDescent="0.3">
      <c r="A42" s="86"/>
      <c r="B42" s="5" t="s">
        <v>3</v>
      </c>
      <c r="C42" s="28">
        <v>0</v>
      </c>
      <c r="D42" s="89"/>
    </row>
    <row r="43" spans="1:4" x14ac:dyDescent="0.3">
      <c r="A43" s="86"/>
      <c r="B43" s="5"/>
      <c r="C43" s="5"/>
      <c r="D43" s="89"/>
    </row>
    <row r="44" spans="1:4" x14ac:dyDescent="0.3">
      <c r="A44" s="86" t="s">
        <v>70</v>
      </c>
      <c r="B44" s="5"/>
      <c r="C44" s="5"/>
      <c r="D44" s="89">
        <f>ROUND(C45*$B$18,2)</f>
        <v>58.1</v>
      </c>
    </row>
    <row r="45" spans="1:4" x14ac:dyDescent="0.3">
      <c r="A45" s="86"/>
      <c r="B45" s="5" t="s">
        <v>31</v>
      </c>
      <c r="C45" s="62">
        <v>2.9051599999999999E-4</v>
      </c>
      <c r="D45" s="89"/>
    </row>
    <row r="46" spans="1:4" x14ac:dyDescent="0.3">
      <c r="A46" s="86"/>
      <c r="B46" s="5"/>
      <c r="C46" s="5"/>
      <c r="D46" s="89"/>
    </row>
    <row r="47" spans="1:4" x14ac:dyDescent="0.3">
      <c r="A47" s="86" t="s">
        <v>69</v>
      </c>
      <c r="B47" s="5"/>
      <c r="C47" s="5"/>
      <c r="D47" s="89">
        <f>IF(B18&gt;833000,ROUND(833000*C48,2),ROUND(C48*$B$18,2))</f>
        <v>360.14</v>
      </c>
    </row>
    <row r="48" spans="1:4" x14ac:dyDescent="0.3">
      <c r="A48" s="86"/>
      <c r="B48" s="5" t="s">
        <v>31</v>
      </c>
      <c r="C48" s="62">
        <v>1.8006999999999999E-3</v>
      </c>
      <c r="D48" s="83"/>
    </row>
    <row r="49" spans="1:7" x14ac:dyDescent="0.3">
      <c r="A49" s="86"/>
      <c r="B49" s="5"/>
      <c r="C49" s="5"/>
      <c r="D49" s="83"/>
    </row>
    <row r="50" spans="1:7" x14ac:dyDescent="0.3">
      <c r="A50" s="86" t="s">
        <v>51</v>
      </c>
      <c r="B50" s="5"/>
      <c r="C50" s="5"/>
      <c r="D50" s="89">
        <f>ROUND(C51*$B$18,2)</f>
        <v>0</v>
      </c>
    </row>
    <row r="51" spans="1:7" x14ac:dyDescent="0.3">
      <c r="A51" s="86"/>
      <c r="B51" s="5" t="s">
        <v>3</v>
      </c>
      <c r="C51" s="28">
        <v>0</v>
      </c>
      <c r="D51" s="89"/>
    </row>
    <row r="52" spans="1:7" x14ac:dyDescent="0.3">
      <c r="A52" s="86"/>
      <c r="B52" s="5"/>
      <c r="C52" s="62"/>
      <c r="D52" s="89"/>
      <c r="E52" s="3"/>
      <c r="G52" s="3"/>
    </row>
    <row r="53" spans="1:7" x14ac:dyDescent="0.3">
      <c r="A53" s="86" t="s">
        <v>52</v>
      </c>
      <c r="B53" s="5"/>
      <c r="C53" s="5"/>
      <c r="D53" s="89">
        <f>IF($B$18&lt;2001,ROUND($B$18*C54,2),IF($B$18&gt;15000,ROUND(2000*C54,2)+ROUND(13000*C55,2)+ROUND(($B$18-15000)*C56,2),ROUND(2000*C54,2)+ROUND(($B$18-2000)*C55,2)))</f>
        <v>735.31999999999994</v>
      </c>
    </row>
    <row r="54" spans="1:7" x14ac:dyDescent="0.3">
      <c r="A54" s="86"/>
      <c r="B54" s="5" t="s">
        <v>4</v>
      </c>
      <c r="C54" s="28">
        <v>4.6499999999999996E-3</v>
      </c>
      <c r="D54" s="83"/>
      <c r="E54" s="3"/>
    </row>
    <row r="55" spans="1:7" x14ac:dyDescent="0.3">
      <c r="A55" s="86"/>
      <c r="B55" s="5" t="s">
        <v>5</v>
      </c>
      <c r="C55" s="28">
        <v>4.1900000000000001E-3</v>
      </c>
      <c r="D55" s="83"/>
    </row>
    <row r="56" spans="1:7" x14ac:dyDescent="0.3">
      <c r="A56" s="86"/>
      <c r="B56" s="5" t="s">
        <v>6</v>
      </c>
      <c r="C56" s="28">
        <v>3.63E-3</v>
      </c>
      <c r="D56" s="83"/>
    </row>
    <row r="57" spans="1:7" x14ac:dyDescent="0.3">
      <c r="A57" s="86"/>
      <c r="B57" s="5"/>
      <c r="C57" s="28"/>
      <c r="D57" s="83"/>
    </row>
    <row r="58" spans="1:7" x14ac:dyDescent="0.3">
      <c r="A58" s="86"/>
      <c r="B58" s="12"/>
      <c r="C58" s="5"/>
      <c r="D58" s="83"/>
    </row>
    <row r="59" spans="1:7" x14ac:dyDescent="0.3">
      <c r="A59" s="86" t="s">
        <v>53</v>
      </c>
      <c r="B59" s="5"/>
      <c r="C59" s="5"/>
      <c r="D59" s="83">
        <f>ROUND(C60*(D27+D33),2)</f>
        <v>178.8</v>
      </c>
    </row>
    <row r="60" spans="1:7" x14ac:dyDescent="0.3">
      <c r="A60" s="86"/>
      <c r="B60" s="91" t="s">
        <v>30</v>
      </c>
      <c r="C60" s="63">
        <v>8.3150000000000002E-2</v>
      </c>
      <c r="D60" s="83"/>
    </row>
    <row r="61" spans="1:7" x14ac:dyDescent="0.3">
      <c r="A61" s="86"/>
      <c r="B61" s="91"/>
      <c r="C61" s="63"/>
      <c r="D61" s="83"/>
    </row>
    <row r="62" spans="1:7" x14ac:dyDescent="0.3">
      <c r="A62" s="86" t="s">
        <v>54</v>
      </c>
      <c r="B62" s="91"/>
      <c r="C62" s="63"/>
      <c r="D62" s="83">
        <f>ROUND(C63*$B$18,2)</f>
        <v>0</v>
      </c>
    </row>
    <row r="63" spans="1:7" x14ac:dyDescent="0.3">
      <c r="A63" s="86"/>
      <c r="B63" s="5" t="s">
        <v>3</v>
      </c>
      <c r="C63" s="64">
        <v>0</v>
      </c>
      <c r="D63" s="83"/>
    </row>
    <row r="64" spans="1:7" x14ac:dyDescent="0.3">
      <c r="A64" s="86"/>
      <c r="B64" s="5"/>
      <c r="C64" s="5"/>
      <c r="D64" s="83"/>
    </row>
    <row r="65" spans="1:5" x14ac:dyDescent="0.3">
      <c r="A65" s="86" t="s">
        <v>56</v>
      </c>
      <c r="B65" s="5"/>
      <c r="C65" s="5"/>
      <c r="D65" s="83">
        <f>ROUND(C66,2)</f>
        <v>70.88</v>
      </c>
    </row>
    <row r="66" spans="1:5" x14ac:dyDescent="0.3">
      <c r="A66" s="86"/>
      <c r="B66" s="5" t="s">
        <v>2</v>
      </c>
      <c r="C66" s="64">
        <v>70.88</v>
      </c>
      <c r="D66" s="83"/>
    </row>
    <row r="67" spans="1:5" x14ac:dyDescent="0.3">
      <c r="A67" s="86"/>
      <c r="B67" s="5"/>
      <c r="C67" s="64"/>
      <c r="D67" s="83"/>
    </row>
    <row r="68" spans="1:5" x14ac:dyDescent="0.3">
      <c r="A68" s="86" t="s">
        <v>55</v>
      </c>
      <c r="B68" s="5"/>
      <c r="C68" s="64"/>
      <c r="D68" s="83">
        <f>ROUND((D27+D33)*C69,2)</f>
        <v>227.46</v>
      </c>
    </row>
    <row r="69" spans="1:5" x14ac:dyDescent="0.3">
      <c r="A69" s="86"/>
      <c r="B69" s="91" t="s">
        <v>30</v>
      </c>
      <c r="C69" s="63">
        <v>0.105778</v>
      </c>
      <c r="D69" s="83"/>
    </row>
    <row r="70" spans="1:5" x14ac:dyDescent="0.3">
      <c r="A70" s="86"/>
      <c r="B70" s="5"/>
      <c r="C70" s="5"/>
      <c r="D70" s="83"/>
    </row>
    <row r="71" spans="1:5" x14ac:dyDescent="0.3">
      <c r="A71" s="86" t="s">
        <v>68</v>
      </c>
      <c r="B71" s="5"/>
      <c r="C71" s="5"/>
      <c r="D71" s="83"/>
    </row>
    <row r="72" spans="1:5" x14ac:dyDescent="0.3">
      <c r="A72" s="86"/>
      <c r="B72" s="5"/>
      <c r="C72" s="5"/>
      <c r="D72" s="83"/>
    </row>
    <row r="73" spans="1:5" x14ac:dyDescent="0.3">
      <c r="A73" s="86"/>
      <c r="B73" s="5"/>
      <c r="C73" s="5"/>
      <c r="D73" s="83"/>
    </row>
    <row r="74" spans="1:5" x14ac:dyDescent="0.3">
      <c r="A74" s="86"/>
      <c r="B74" s="5"/>
      <c r="C74" s="28"/>
      <c r="D74" s="89"/>
    </row>
    <row r="75" spans="1:5" x14ac:dyDescent="0.3">
      <c r="A75" s="86" t="s">
        <v>65</v>
      </c>
      <c r="B75" s="5"/>
      <c r="C75" s="28"/>
      <c r="D75" s="89">
        <f>ROUND(C76,2)</f>
        <v>6.34</v>
      </c>
    </row>
    <row r="76" spans="1:5" x14ac:dyDescent="0.3">
      <c r="A76" s="86"/>
      <c r="B76" s="5" t="s">
        <v>29</v>
      </c>
      <c r="C76" s="88">
        <v>6.34</v>
      </c>
      <c r="D76" s="89"/>
    </row>
    <row r="77" spans="1:5" x14ac:dyDescent="0.3">
      <c r="A77" s="86"/>
      <c r="B77" s="5"/>
      <c r="C77" s="28"/>
      <c r="D77" s="89"/>
    </row>
    <row r="78" spans="1:5" x14ac:dyDescent="0.3">
      <c r="A78" s="86" t="s">
        <v>66</v>
      </c>
      <c r="B78" s="5"/>
      <c r="C78" s="5"/>
      <c r="D78" s="89">
        <f>ROUND(C79*$B$19,2)+ROUND(C80*$B$18,2)+ROUND(C81*$B$20,2)</f>
        <v>993.37000000000012</v>
      </c>
      <c r="E78" s="3"/>
    </row>
    <row r="79" spans="1:5" x14ac:dyDescent="0.3">
      <c r="A79" s="86"/>
      <c r="B79" s="5" t="s">
        <v>8</v>
      </c>
      <c r="C79" s="28">
        <v>1.7093824943577201</v>
      </c>
      <c r="D79" s="89"/>
    </row>
    <row r="80" spans="1:5" x14ac:dyDescent="0.3">
      <c r="A80" s="86"/>
      <c r="B80" s="5" t="s">
        <v>9</v>
      </c>
      <c r="C80" s="28">
        <v>6.9340000000000005E-4</v>
      </c>
      <c r="D80" s="89"/>
    </row>
    <row r="81" spans="1:6" x14ac:dyDescent="0.3">
      <c r="A81" s="86"/>
      <c r="B81" s="5" t="s">
        <v>10</v>
      </c>
      <c r="C81" s="28">
        <v>0</v>
      </c>
      <c r="D81" s="89"/>
    </row>
    <row r="82" spans="1:6" x14ac:dyDescent="0.3">
      <c r="A82" s="86"/>
      <c r="B82" s="5"/>
      <c r="C82" s="28"/>
      <c r="D82" s="89"/>
    </row>
    <row r="83" spans="1:6" x14ac:dyDescent="0.3">
      <c r="A83" s="86" t="s">
        <v>67</v>
      </c>
      <c r="B83" s="5"/>
      <c r="C83" s="28"/>
      <c r="D83" s="89">
        <f>ROUND((D27+D33)*C84,2)</f>
        <v>-41.53</v>
      </c>
    </row>
    <row r="84" spans="1:6" x14ac:dyDescent="0.3">
      <c r="A84" s="86"/>
      <c r="B84" s="5" t="s">
        <v>30</v>
      </c>
      <c r="C84" s="65">
        <v>-1.9311999999999999E-2</v>
      </c>
      <c r="D84" s="89"/>
    </row>
    <row r="85" spans="1:6" x14ac:dyDescent="0.3">
      <c r="A85" s="86"/>
      <c r="B85" s="5"/>
      <c r="C85" s="28"/>
      <c r="D85" s="89"/>
    </row>
    <row r="86" spans="1:6" x14ac:dyDescent="0.3">
      <c r="A86" s="92"/>
      <c r="B86" s="5"/>
      <c r="C86" s="28"/>
      <c r="D86" s="89"/>
    </row>
    <row r="87" spans="1:6" x14ac:dyDescent="0.3">
      <c r="A87" s="84" t="s">
        <v>18</v>
      </c>
      <c r="B87" s="5"/>
      <c r="C87" s="28"/>
      <c r="D87" s="93">
        <f>SUM(D30:D83)</f>
        <v>5046.8200000000006</v>
      </c>
    </row>
    <row r="88" spans="1:6" x14ac:dyDescent="0.3">
      <c r="A88" s="92"/>
      <c r="B88" s="5"/>
      <c r="C88" s="28"/>
      <c r="D88" s="89"/>
    </row>
    <row r="89" spans="1:6" ht="15" thickBot="1" x14ac:dyDescent="0.35">
      <c r="A89" s="94" t="s">
        <v>12</v>
      </c>
      <c r="B89" s="95"/>
      <c r="C89" s="96"/>
      <c r="D89" s="97">
        <f>SUM(D87+D27)</f>
        <v>5322.5400000000009</v>
      </c>
    </row>
    <row r="90" spans="1:6" x14ac:dyDescent="0.3">
      <c r="A90" s="12"/>
      <c r="B90" s="12"/>
      <c r="C90" s="5"/>
      <c r="D90" s="54"/>
    </row>
    <row r="91" spans="1:6" x14ac:dyDescent="0.3">
      <c r="A91" s="12"/>
      <c r="B91" s="12"/>
      <c r="C91" s="5"/>
      <c r="D91" s="54"/>
    </row>
    <row r="92" spans="1:6" x14ac:dyDescent="0.3">
      <c r="A92" s="48" t="s">
        <v>19</v>
      </c>
      <c r="B92" s="22" t="s">
        <v>38</v>
      </c>
      <c r="C92" s="23"/>
      <c r="D92" s="24"/>
    </row>
    <row r="93" spans="1:6" x14ac:dyDescent="0.3">
      <c r="A93" s="66" t="s">
        <v>28</v>
      </c>
      <c r="B93" s="5"/>
      <c r="C93" s="5"/>
      <c r="D93" s="67">
        <f>ROUND(C94*$B$18,2)</f>
        <v>21060.3</v>
      </c>
    </row>
    <row r="94" spans="1:6" x14ac:dyDescent="0.3">
      <c r="A94" s="68"/>
      <c r="B94" s="5" t="s">
        <v>9</v>
      </c>
      <c r="C94" s="28">
        <v>0.10530150000000001</v>
      </c>
      <c r="D94" s="67"/>
    </row>
    <row r="95" spans="1:6" x14ac:dyDescent="0.3">
      <c r="A95" s="68"/>
      <c r="B95" s="12"/>
      <c r="C95" s="5"/>
      <c r="D95" s="67"/>
    </row>
    <row r="96" spans="1:6" ht="15" thickBot="1" x14ac:dyDescent="0.35">
      <c r="A96" s="27" t="s">
        <v>21</v>
      </c>
      <c r="B96" s="5"/>
      <c r="C96" s="28"/>
      <c r="D96" s="29">
        <f>SUM(D93)</f>
        <v>21060.3</v>
      </c>
      <c r="F96" s="4"/>
    </row>
    <row r="97" spans="1:6" ht="15" thickTop="1" x14ac:dyDescent="0.3">
      <c r="A97" s="30"/>
      <c r="B97" s="31"/>
      <c r="C97" s="32"/>
      <c r="D97" s="33"/>
      <c r="F97" s="4"/>
    </row>
    <row r="98" spans="1:6" ht="15" thickBot="1" x14ac:dyDescent="0.35">
      <c r="A98" s="18" t="s">
        <v>20</v>
      </c>
      <c r="B98" s="19"/>
      <c r="C98" s="20"/>
      <c r="D98" s="21">
        <f>D96+D89</f>
        <v>26382.84</v>
      </c>
    </row>
    <row r="99" spans="1:6" ht="15.6" thickTop="1" thickBot="1" x14ac:dyDescent="0.35">
      <c r="A99" s="12"/>
      <c r="B99" s="12"/>
      <c r="C99" s="5"/>
      <c r="D99" s="13"/>
      <c r="E99" s="3"/>
      <c r="F99" s="3"/>
    </row>
    <row r="100" spans="1:6" ht="15" thickTop="1" x14ac:dyDescent="0.3">
      <c r="A100" s="12"/>
      <c r="B100" s="108" t="s">
        <v>44</v>
      </c>
      <c r="C100" s="109"/>
      <c r="D100" s="110"/>
    </row>
    <row r="101" spans="1:6" x14ac:dyDescent="0.3">
      <c r="A101" s="5"/>
      <c r="B101" s="34"/>
      <c r="C101" s="5"/>
      <c r="D101" s="69"/>
    </row>
    <row r="102" spans="1:6" x14ac:dyDescent="0.3">
      <c r="A102" s="5"/>
      <c r="B102" s="36" t="s">
        <v>43</v>
      </c>
      <c r="C102" s="37"/>
      <c r="D102" s="69"/>
    </row>
    <row r="103" spans="1:6" x14ac:dyDescent="0.3">
      <c r="A103" s="5"/>
      <c r="B103" s="70" t="s">
        <v>13</v>
      </c>
      <c r="C103" s="5"/>
      <c r="D103" s="71">
        <f>D27</f>
        <v>275.72000000000003</v>
      </c>
    </row>
    <row r="104" spans="1:6" x14ac:dyDescent="0.3">
      <c r="A104" s="5"/>
      <c r="B104" s="70" t="s">
        <v>22</v>
      </c>
      <c r="C104" s="5"/>
      <c r="D104" s="71">
        <f>D87</f>
        <v>5046.8200000000006</v>
      </c>
    </row>
    <row r="105" spans="1:6" x14ac:dyDescent="0.3">
      <c r="A105" s="5"/>
      <c r="B105" s="72" t="s">
        <v>45</v>
      </c>
      <c r="C105" s="5"/>
      <c r="D105" s="73">
        <f>D89</f>
        <v>5322.5400000000009</v>
      </c>
    </row>
    <row r="106" spans="1:6" x14ac:dyDescent="0.3">
      <c r="A106" s="5"/>
      <c r="B106" s="42"/>
      <c r="C106" s="5"/>
      <c r="D106" s="71"/>
    </row>
    <row r="107" spans="1:6" x14ac:dyDescent="0.3">
      <c r="A107" s="5"/>
      <c r="B107" s="43" t="s">
        <v>23</v>
      </c>
      <c r="C107" s="5"/>
      <c r="D107" s="71"/>
    </row>
    <row r="108" spans="1:6" ht="15" thickBot="1" x14ac:dyDescent="0.35">
      <c r="A108" s="5"/>
      <c r="B108" s="74" t="s">
        <v>24</v>
      </c>
      <c r="C108" s="45"/>
      <c r="D108" s="75">
        <f>D96</f>
        <v>21060.3</v>
      </c>
    </row>
    <row r="109" spans="1:6" ht="15" thickTop="1" x14ac:dyDescent="0.3">
      <c r="A109" s="3"/>
    </row>
    <row r="110" spans="1:6" x14ac:dyDescent="0.3">
      <c r="A110" s="3"/>
    </row>
    <row r="113" spans="1:2" x14ac:dyDescent="0.3">
      <c r="A113" s="3"/>
      <c r="B113" s="3"/>
    </row>
  </sheetData>
  <sheetProtection algorithmName="SHA-512" hashValue="pwIRYQvZ/mUwcO30CZG9aWUupfjqSkrOMkdG2lSR/6JD71HrcbwHJj0i8uejKcJVfpxF8FHFKzFVaxvnoqfX5g==" saltValue="7EGgwRn+bA+AanDqNRaCkA==" spinCount="100000" sheet="1" formatRows="0" selectLockedCells="1"/>
  <mergeCells count="8">
    <mergeCell ref="A7:D14"/>
    <mergeCell ref="B100:D100"/>
    <mergeCell ref="A1:D1"/>
    <mergeCell ref="A6:D6"/>
    <mergeCell ref="A15:D15"/>
    <mergeCell ref="A5:D5"/>
    <mergeCell ref="A16:D16"/>
    <mergeCell ref="A2:D2"/>
  </mergeCells>
  <conditionalFormatting sqref="C1:D6 C101:D65542">
    <cfRule type="cellIs" dxfId="3" priority="6" operator="lessThan">
      <formula>0</formula>
    </cfRule>
  </conditionalFormatting>
  <conditionalFormatting sqref="C15:D99">
    <cfRule type="cellIs" dxfId="2" priority="1" operator="lessThan">
      <formula>0</formula>
    </cfRule>
  </conditionalFormatting>
  <dataValidations count="2">
    <dataValidation errorStyle="information" allowBlank="1" showInputMessage="1" showErrorMessage="1" errorTitle="Invalid Entry" error="This cell must contain a positive number." sqref="B21:B24" xr:uid="{00000000-0002-0000-0000-000000000000}"/>
    <dataValidation type="decimal" errorStyle="information" allowBlank="1" showInputMessage="1" showErrorMessage="1" errorTitle="Invalid Entry" error="This cell must contain a positive number." sqref="B18:B20" xr:uid="{00000000-0002-0000-0000-000001000000}">
      <formula1>0</formula1>
      <formula2>100000000</formula2>
    </dataValidation>
  </dataValidations>
  <printOptions horizontalCentered="1"/>
  <pageMargins left="0.7" right="0.7" top="0.75" bottom="0.75" header="0.3" footer="0.3"/>
  <pageSetup scale="76" orientation="portrait" r:id="rId1"/>
  <headerFooter>
    <oddHeader>&amp;L&amp;G&amp;R&amp;"Arial,Regular"Effective April 1, 2024</oddHeader>
    <oddFooter>&amp;L&amp;"Arial,Regular"Worksheet valid for calculating bills starting on April 1, 2024.  This billing worksheet does not take into account the maximum billing charges for this rate structure.</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7"/>
  <sheetViews>
    <sheetView showGridLines="0" showRowColHeaders="0" showRuler="0" view="pageLayout" topLeftCell="A56" zoomScale="90" zoomScaleNormal="100" zoomScaleSheetLayoutView="80" zoomScalePageLayoutView="90" workbookViewId="0">
      <selection activeCell="B19" sqref="B19"/>
    </sheetView>
  </sheetViews>
  <sheetFormatPr defaultColWidth="9.109375" defaultRowHeight="14.4" x14ac:dyDescent="0.3"/>
  <cols>
    <col min="1" max="1" width="29.6640625" customWidth="1"/>
    <col min="2" max="2" width="50" customWidth="1"/>
    <col min="3" max="3" width="15.5546875" customWidth="1"/>
    <col min="4" max="4" width="14.5546875" customWidth="1"/>
    <col min="5" max="5" width="53" customWidth="1"/>
    <col min="6" max="6" width="53.6640625" bestFit="1" customWidth="1"/>
  </cols>
  <sheetData>
    <row r="1" spans="1:5" ht="21" x14ac:dyDescent="0.4">
      <c r="A1" s="111" t="s">
        <v>39</v>
      </c>
      <c r="B1" s="111"/>
      <c r="C1" s="111"/>
      <c r="D1" s="111"/>
      <c r="E1" s="1"/>
    </row>
    <row r="2" spans="1:5" ht="17.399999999999999" x14ac:dyDescent="0.3">
      <c r="A2" s="114" t="s">
        <v>33</v>
      </c>
      <c r="B2" s="114"/>
      <c r="C2" s="114"/>
      <c r="D2" s="114"/>
      <c r="E2" s="1"/>
    </row>
    <row r="3" spans="1:5" x14ac:dyDescent="0.3">
      <c r="A3" s="5"/>
      <c r="B3" s="5"/>
      <c r="C3" s="5"/>
      <c r="D3" s="5"/>
    </row>
    <row r="4" spans="1:5" x14ac:dyDescent="0.3">
      <c r="A4" s="6" t="s">
        <v>0</v>
      </c>
      <c r="B4" s="6"/>
      <c r="C4" s="6"/>
      <c r="D4" s="6"/>
    </row>
    <row r="5" spans="1:5" ht="27.75" customHeight="1" x14ac:dyDescent="0.3">
      <c r="A5" s="113" t="s">
        <v>40</v>
      </c>
      <c r="B5" s="113"/>
      <c r="C5" s="113"/>
      <c r="D5" s="113"/>
      <c r="E5" s="2"/>
    </row>
    <row r="6" spans="1:5" x14ac:dyDescent="0.3">
      <c r="A6" s="112" t="s">
        <v>41</v>
      </c>
      <c r="B6" s="112"/>
      <c r="C6" s="112"/>
      <c r="D6" s="112"/>
      <c r="E6" s="2"/>
    </row>
    <row r="7" spans="1:5" ht="51" customHeight="1" x14ac:dyDescent="0.3">
      <c r="A7" s="115" t="s">
        <v>34</v>
      </c>
      <c r="B7" s="115"/>
      <c r="C7" s="115"/>
      <c r="D7" s="115"/>
      <c r="E7" s="2"/>
    </row>
    <row r="8" spans="1:5" ht="15" customHeight="1" x14ac:dyDescent="0.3">
      <c r="A8" s="107"/>
      <c r="B8" s="107"/>
      <c r="C8" s="107"/>
      <c r="D8" s="107"/>
      <c r="E8" s="2"/>
    </row>
    <row r="9" spans="1:5" ht="15" customHeight="1" x14ac:dyDescent="0.3">
      <c r="A9" s="107"/>
      <c r="B9" s="107"/>
      <c r="C9" s="107"/>
      <c r="D9" s="107"/>
      <c r="E9" s="2"/>
    </row>
    <row r="10" spans="1:5" ht="15" customHeight="1" x14ac:dyDescent="0.3">
      <c r="A10" s="107"/>
      <c r="B10" s="107"/>
      <c r="C10" s="107"/>
      <c r="D10" s="107"/>
      <c r="E10" s="2"/>
    </row>
    <row r="11" spans="1:5" ht="15" customHeight="1" x14ac:dyDescent="0.3">
      <c r="A11" s="107"/>
      <c r="B11" s="107"/>
      <c r="C11" s="107"/>
      <c r="D11" s="107"/>
      <c r="E11" s="2"/>
    </row>
    <row r="12" spans="1:5" ht="15" customHeight="1" x14ac:dyDescent="0.3">
      <c r="A12" s="107"/>
      <c r="B12" s="107"/>
      <c r="C12" s="107"/>
      <c r="D12" s="107"/>
      <c r="E12" s="2"/>
    </row>
    <row r="13" spans="1:5" ht="15" customHeight="1" x14ac:dyDescent="0.3">
      <c r="A13" s="107"/>
      <c r="B13" s="107"/>
      <c r="C13" s="107"/>
      <c r="D13" s="107"/>
      <c r="E13" s="2"/>
    </row>
    <row r="14" spans="1:5" ht="15" customHeight="1" x14ac:dyDescent="0.3">
      <c r="A14" s="107"/>
      <c r="B14" s="107"/>
      <c r="C14" s="107"/>
      <c r="D14" s="107"/>
      <c r="E14" s="2"/>
    </row>
    <row r="15" spans="1:5" ht="15" customHeight="1" x14ac:dyDescent="0.3">
      <c r="A15" s="107"/>
      <c r="B15" s="107"/>
      <c r="C15" s="107"/>
      <c r="D15" s="107"/>
      <c r="E15" s="2"/>
    </row>
    <row r="16" spans="1:5" ht="30" customHeight="1" x14ac:dyDescent="0.3">
      <c r="A16" s="113" t="s">
        <v>46</v>
      </c>
      <c r="B16" s="113"/>
      <c r="C16" s="113"/>
      <c r="D16" s="113"/>
      <c r="E16" s="2"/>
    </row>
    <row r="17" spans="1:5" ht="27" customHeight="1" x14ac:dyDescent="0.3">
      <c r="A17" s="113" t="s">
        <v>14</v>
      </c>
      <c r="B17" s="113"/>
      <c r="C17" s="113"/>
      <c r="D17" s="113"/>
    </row>
    <row r="18" spans="1:5" ht="15" thickBot="1" x14ac:dyDescent="0.35">
      <c r="A18" s="6"/>
      <c r="B18" s="47" t="s">
        <v>27</v>
      </c>
      <c r="C18" s="6"/>
      <c r="D18" s="6"/>
    </row>
    <row r="19" spans="1:5" ht="16.2" thickBot="1" x14ac:dyDescent="0.35">
      <c r="A19" s="6" t="s">
        <v>35</v>
      </c>
      <c r="B19" s="57">
        <v>200000</v>
      </c>
      <c r="C19" s="6"/>
      <c r="D19" s="6"/>
    </row>
    <row r="20" spans="1:5" ht="16.2" thickBot="1" x14ac:dyDescent="0.35">
      <c r="A20" s="6" t="s">
        <v>36</v>
      </c>
      <c r="B20" s="57">
        <v>0</v>
      </c>
      <c r="C20" s="6"/>
      <c r="D20" s="6"/>
    </row>
    <row r="21" spans="1:5" ht="16.2" thickBot="1" x14ac:dyDescent="0.35">
      <c r="A21" s="6" t="s">
        <v>37</v>
      </c>
      <c r="B21" s="58">
        <f>B19-B20</f>
        <v>200000</v>
      </c>
      <c r="C21" s="6"/>
      <c r="D21" s="6"/>
    </row>
    <row r="22" spans="1:5" ht="16.2" thickBot="1" x14ac:dyDescent="0.35">
      <c r="A22" s="6" t="s">
        <v>7</v>
      </c>
      <c r="B22" s="56">
        <v>500</v>
      </c>
      <c r="C22" s="6"/>
      <c r="D22" s="52"/>
    </row>
    <row r="23" spans="1:5" ht="16.2" thickBot="1" x14ac:dyDescent="0.35">
      <c r="A23" s="6" t="s">
        <v>11</v>
      </c>
      <c r="B23" s="59">
        <v>242.2</v>
      </c>
      <c r="C23" s="6"/>
      <c r="D23" s="52"/>
      <c r="E23" s="3"/>
    </row>
    <row r="24" spans="1:5" x14ac:dyDescent="0.3">
      <c r="A24" s="6"/>
      <c r="B24" s="7"/>
      <c r="C24" s="6"/>
      <c r="D24" s="6"/>
      <c r="E24" s="3"/>
    </row>
    <row r="25" spans="1:5" x14ac:dyDescent="0.3">
      <c r="A25" s="6"/>
      <c r="B25" s="8" t="s">
        <v>25</v>
      </c>
      <c r="C25" s="9"/>
      <c r="D25" s="55">
        <f>D102</f>
        <v>26382.84</v>
      </c>
      <c r="E25" s="3"/>
    </row>
    <row r="26" spans="1:5" x14ac:dyDescent="0.3">
      <c r="A26" s="6"/>
      <c r="B26" s="10"/>
      <c r="C26" s="6"/>
      <c r="D26" s="6"/>
      <c r="E26" s="3"/>
    </row>
    <row r="27" spans="1:5" x14ac:dyDescent="0.3">
      <c r="A27" s="6"/>
      <c r="B27" s="8" t="s">
        <v>26</v>
      </c>
      <c r="C27" s="9"/>
      <c r="D27" s="11">
        <f>IF(B21&lt;0,-($D$100/$B$21),$D$100/$B$21)</f>
        <v>0.10530149999999999</v>
      </c>
      <c r="E27" s="3"/>
    </row>
    <row r="28" spans="1:5" ht="15" thickBot="1" x14ac:dyDescent="0.35">
      <c r="A28" s="6"/>
      <c r="B28" s="6"/>
      <c r="C28" s="6"/>
      <c r="D28" s="6"/>
    </row>
    <row r="29" spans="1:5" ht="15.6" thickTop="1" thickBot="1" x14ac:dyDescent="0.35">
      <c r="A29" s="76" t="s">
        <v>43</v>
      </c>
      <c r="B29" s="77"/>
      <c r="C29" s="60"/>
      <c r="D29" s="78"/>
    </row>
    <row r="30" spans="1:5" x14ac:dyDescent="0.3">
      <c r="A30" s="79" t="s">
        <v>15</v>
      </c>
      <c r="B30" s="80"/>
      <c r="C30" s="98"/>
      <c r="D30" s="99">
        <f>ROUND(C31,2)</f>
        <v>275.72000000000003</v>
      </c>
    </row>
    <row r="31" spans="1:5" x14ac:dyDescent="0.3">
      <c r="A31" s="82"/>
      <c r="B31" s="5" t="s">
        <v>2</v>
      </c>
      <c r="C31" s="14">
        <f>'187'!C28</f>
        <v>275.72000000000003</v>
      </c>
      <c r="D31" s="100"/>
    </row>
    <row r="32" spans="1:5" x14ac:dyDescent="0.3">
      <c r="A32" s="84" t="s">
        <v>17</v>
      </c>
      <c r="B32" s="5"/>
      <c r="C32" s="101"/>
      <c r="D32" s="100"/>
    </row>
    <row r="33" spans="1:4" x14ac:dyDescent="0.3">
      <c r="A33" s="86" t="s">
        <v>47</v>
      </c>
      <c r="B33" s="5"/>
      <c r="C33" s="101"/>
      <c r="D33" s="100">
        <f>C34</f>
        <v>288.55</v>
      </c>
    </row>
    <row r="34" spans="1:4" x14ac:dyDescent="0.3">
      <c r="A34" s="87"/>
      <c r="B34" s="5" t="s">
        <v>2</v>
      </c>
      <c r="C34" s="52">
        <f>'187'!C31</f>
        <v>288.55</v>
      </c>
      <c r="D34" s="100"/>
    </row>
    <row r="35" spans="1:4" x14ac:dyDescent="0.3">
      <c r="A35" s="84"/>
      <c r="B35" s="5"/>
      <c r="C35" s="101"/>
      <c r="D35" s="100"/>
    </row>
    <row r="36" spans="1:4" x14ac:dyDescent="0.3">
      <c r="A36" s="86" t="s">
        <v>48</v>
      </c>
      <c r="B36" s="5"/>
      <c r="C36" s="6"/>
      <c r="D36" s="102">
        <f>ROUND(C37*$B$22,2)+ROUND(C38*$B$23,2)</f>
        <v>1874.59</v>
      </c>
    </row>
    <row r="37" spans="1:4" x14ac:dyDescent="0.3">
      <c r="A37" s="90"/>
      <c r="B37" s="5" t="s">
        <v>8</v>
      </c>
      <c r="C37" s="15">
        <f>'187'!C34</f>
        <v>3.3431972999999999</v>
      </c>
      <c r="D37" s="102"/>
    </row>
    <row r="38" spans="1:4" x14ac:dyDescent="0.3">
      <c r="A38" s="86"/>
      <c r="B38" s="5" t="s">
        <v>10</v>
      </c>
      <c r="C38" s="15">
        <f>'187'!C35</f>
        <v>0.83809480000000003</v>
      </c>
      <c r="D38" s="102"/>
    </row>
    <row r="39" spans="1:4" x14ac:dyDescent="0.3">
      <c r="A39" s="86"/>
      <c r="B39" s="5"/>
      <c r="C39" s="15"/>
      <c r="D39" s="102"/>
    </row>
    <row r="40" spans="1:4" x14ac:dyDescent="0.3">
      <c r="A40" s="86" t="s">
        <v>49</v>
      </c>
      <c r="B40" s="5"/>
      <c r="C40" s="101"/>
      <c r="D40" s="102">
        <f>IF(B21&lt;0,0,IF(B21&lt;833000,ROUND(C41*$B$21,2),ROUND(((833000)*C41)+((B21-833000)*C42),2)))</f>
        <v>294.8</v>
      </c>
    </row>
    <row r="41" spans="1:4" x14ac:dyDescent="0.3">
      <c r="A41" s="86"/>
      <c r="B41" s="5" t="s">
        <v>31</v>
      </c>
      <c r="C41" s="16">
        <f>'187'!C38</f>
        <v>1.474E-3</v>
      </c>
      <c r="D41" s="100"/>
    </row>
    <row r="42" spans="1:4" x14ac:dyDescent="0.3">
      <c r="A42" s="86"/>
      <c r="B42" s="5" t="s">
        <v>32</v>
      </c>
      <c r="C42" s="16">
        <f>'187'!C39</f>
        <v>5.6999999999999998E-4</v>
      </c>
      <c r="D42" s="100"/>
    </row>
    <row r="43" spans="1:4" x14ac:dyDescent="0.3">
      <c r="A43" s="86"/>
      <c r="B43" s="5"/>
      <c r="C43" s="6"/>
      <c r="D43" s="100"/>
    </row>
    <row r="44" spans="1:4" x14ac:dyDescent="0.3">
      <c r="A44" s="86" t="s">
        <v>50</v>
      </c>
      <c r="B44" s="5"/>
      <c r="C44" s="6"/>
      <c r="D44" s="102">
        <f>IF(B21&lt;0,0,ROUND(C45*$B$21,2))</f>
        <v>0</v>
      </c>
    </row>
    <row r="45" spans="1:4" x14ac:dyDescent="0.3">
      <c r="A45" s="86"/>
      <c r="B45" s="5" t="s">
        <v>3</v>
      </c>
      <c r="C45" s="15">
        <f>'187'!C42</f>
        <v>0</v>
      </c>
      <c r="D45" s="102"/>
    </row>
    <row r="46" spans="1:4" x14ac:dyDescent="0.3">
      <c r="A46" s="86"/>
      <c r="B46" s="5"/>
      <c r="C46" s="6"/>
      <c r="D46" s="102"/>
    </row>
    <row r="47" spans="1:4" x14ac:dyDescent="0.3">
      <c r="A47" s="86" t="s">
        <v>57</v>
      </c>
      <c r="B47" s="5"/>
      <c r="C47" s="6"/>
      <c r="D47" s="102">
        <f>IF(B21&lt;0,0,IF(B21&lt;0,0,ROUND(C48*$B$21,2)))</f>
        <v>58.1</v>
      </c>
    </row>
    <row r="48" spans="1:4" x14ac:dyDescent="0.3">
      <c r="A48" s="86"/>
      <c r="B48" s="5" t="s">
        <v>31</v>
      </c>
      <c r="C48" s="16">
        <f>'187'!C45</f>
        <v>2.9051599999999999E-4</v>
      </c>
      <c r="D48" s="102"/>
    </row>
    <row r="49" spans="1:7" x14ac:dyDescent="0.3">
      <c r="A49" s="86"/>
      <c r="B49" s="5"/>
      <c r="C49" s="6"/>
      <c r="D49" s="102"/>
    </row>
    <row r="50" spans="1:7" x14ac:dyDescent="0.3">
      <c r="A50" s="86" t="s">
        <v>58</v>
      </c>
      <c r="B50" s="5"/>
      <c r="C50" s="6"/>
      <c r="D50" s="102">
        <f>IF(B21&lt;0,0,IF(B21&gt;833000,ROUND(833000*C51,2),ROUND(C51*$B$21,2)))</f>
        <v>360.14</v>
      </c>
    </row>
    <row r="51" spans="1:7" x14ac:dyDescent="0.3">
      <c r="A51" s="86"/>
      <c r="B51" s="5" t="s">
        <v>31</v>
      </c>
      <c r="C51" s="16">
        <f>'187'!C48</f>
        <v>1.8006999999999999E-3</v>
      </c>
      <c r="D51" s="100"/>
    </row>
    <row r="52" spans="1:7" x14ac:dyDescent="0.3">
      <c r="A52" s="86"/>
      <c r="B52" s="5"/>
      <c r="C52" s="6"/>
      <c r="D52" s="100"/>
    </row>
    <row r="53" spans="1:7" x14ac:dyDescent="0.3">
      <c r="A53" s="86" t="s">
        <v>59</v>
      </c>
      <c r="B53" s="5"/>
      <c r="C53" s="6"/>
      <c r="D53" s="102">
        <f>IF(B21&lt;0,0,ROUND(C54*$B$21,2))</f>
        <v>0</v>
      </c>
    </row>
    <row r="54" spans="1:7" x14ac:dyDescent="0.3">
      <c r="A54" s="86"/>
      <c r="B54" s="5" t="s">
        <v>3</v>
      </c>
      <c r="C54" s="15">
        <f>'187'!C51</f>
        <v>0</v>
      </c>
      <c r="D54" s="102"/>
    </row>
    <row r="55" spans="1:7" x14ac:dyDescent="0.3">
      <c r="A55" s="86"/>
      <c r="B55" s="5"/>
      <c r="C55" s="16"/>
      <c r="D55" s="102"/>
      <c r="E55" s="3"/>
      <c r="G55" s="3"/>
    </row>
    <row r="56" spans="1:7" x14ac:dyDescent="0.3">
      <c r="A56" s="86" t="s">
        <v>60</v>
      </c>
      <c r="B56" s="5"/>
      <c r="C56" s="6"/>
      <c r="D56" s="102">
        <f>IF(B21&lt;0,0,IF($B$21&lt;2001,ROUND($B$21*C57,2),IF($B$21&gt;15000,ROUND(2000*C57,2)+ROUND(13000*C58,2)+ROUND(($B$21-15000)*C59,2),ROUND(2000*C57,2)+ROUND(($B$21-2000)*C58,2))))</f>
        <v>735.31999999999994</v>
      </c>
    </row>
    <row r="57" spans="1:7" x14ac:dyDescent="0.3">
      <c r="A57" s="86"/>
      <c r="B57" s="5" t="s">
        <v>4</v>
      </c>
      <c r="C57" s="15">
        <f>'187'!C54</f>
        <v>4.6499999999999996E-3</v>
      </c>
      <c r="D57" s="100"/>
      <c r="E57" s="3"/>
    </row>
    <row r="58" spans="1:7" x14ac:dyDescent="0.3">
      <c r="A58" s="86"/>
      <c r="B58" s="5" t="s">
        <v>5</v>
      </c>
      <c r="C58" s="15">
        <f>'187'!C55</f>
        <v>4.1900000000000001E-3</v>
      </c>
      <c r="D58" s="100"/>
    </row>
    <row r="59" spans="1:7" x14ac:dyDescent="0.3">
      <c r="A59" s="86"/>
      <c r="B59" s="5" t="s">
        <v>6</v>
      </c>
      <c r="C59" s="15">
        <f>'187'!C56</f>
        <v>3.63E-3</v>
      </c>
      <c r="D59" s="100"/>
    </row>
    <row r="60" spans="1:7" x14ac:dyDescent="0.3">
      <c r="A60" s="103"/>
      <c r="B60" s="6"/>
      <c r="C60" s="15"/>
      <c r="D60" s="100"/>
    </row>
    <row r="61" spans="1:7" x14ac:dyDescent="0.3">
      <c r="A61" s="86" t="s">
        <v>61</v>
      </c>
      <c r="B61" s="5"/>
      <c r="C61" s="5"/>
      <c r="D61" s="100">
        <f>ROUND(C62*(D30+D36),2)</f>
        <v>178.8</v>
      </c>
    </row>
    <row r="62" spans="1:7" x14ac:dyDescent="0.3">
      <c r="A62" s="86"/>
      <c r="B62" s="91" t="s">
        <v>30</v>
      </c>
      <c r="C62" s="63">
        <f>'187'!C60</f>
        <v>8.3150000000000002E-2</v>
      </c>
      <c r="D62" s="100"/>
    </row>
    <row r="63" spans="1:7" x14ac:dyDescent="0.3">
      <c r="A63" s="86"/>
      <c r="B63" s="91"/>
      <c r="C63" s="63"/>
      <c r="D63" s="100"/>
    </row>
    <row r="64" spans="1:7" x14ac:dyDescent="0.3">
      <c r="A64" s="86" t="s">
        <v>62</v>
      </c>
      <c r="B64" s="91"/>
      <c r="C64" s="63"/>
      <c r="D64" s="100">
        <f>IF(B21&lt;0,0,ROUND(C65*$B$21,2))</f>
        <v>0</v>
      </c>
    </row>
    <row r="65" spans="1:4" x14ac:dyDescent="0.3">
      <c r="A65" s="86"/>
      <c r="B65" s="5" t="s">
        <v>3</v>
      </c>
      <c r="C65" s="64">
        <v>0</v>
      </c>
      <c r="D65" s="100"/>
    </row>
    <row r="66" spans="1:4" x14ac:dyDescent="0.3">
      <c r="A66" s="86"/>
      <c r="B66" s="5"/>
      <c r="C66" s="5"/>
      <c r="D66" s="100"/>
    </row>
    <row r="67" spans="1:4" x14ac:dyDescent="0.3">
      <c r="A67" s="86" t="s">
        <v>63</v>
      </c>
      <c r="B67" s="5"/>
      <c r="C67" s="5"/>
      <c r="D67" s="100">
        <f>ROUND(C68,2)</f>
        <v>70.88</v>
      </c>
    </row>
    <row r="68" spans="1:4" x14ac:dyDescent="0.3">
      <c r="A68" s="86"/>
      <c r="B68" s="5" t="s">
        <v>2</v>
      </c>
      <c r="C68" s="64">
        <v>70.88</v>
      </c>
      <c r="D68" s="100"/>
    </row>
    <row r="69" spans="1:4" x14ac:dyDescent="0.3">
      <c r="A69" s="86"/>
      <c r="B69" s="5"/>
      <c r="C69" s="64"/>
      <c r="D69" s="100"/>
    </row>
    <row r="70" spans="1:4" x14ac:dyDescent="0.3">
      <c r="A70" s="86" t="s">
        <v>64</v>
      </c>
      <c r="B70" s="5"/>
      <c r="C70" s="64"/>
      <c r="D70" s="100">
        <f>ROUND((D30+D36)*C71,2)</f>
        <v>227.46</v>
      </c>
    </row>
    <row r="71" spans="1:4" x14ac:dyDescent="0.3">
      <c r="A71" s="86"/>
      <c r="B71" s="91" t="s">
        <v>30</v>
      </c>
      <c r="C71" s="63">
        <f>'187'!C69</f>
        <v>0.105778</v>
      </c>
      <c r="D71" s="100"/>
    </row>
    <row r="72" spans="1:4" x14ac:dyDescent="0.3">
      <c r="A72" s="86"/>
      <c r="B72" s="91"/>
      <c r="C72" s="63"/>
      <c r="D72" s="100"/>
    </row>
    <row r="73" spans="1:4" x14ac:dyDescent="0.3">
      <c r="A73" s="86"/>
      <c r="B73" s="91"/>
      <c r="C73" s="63"/>
      <c r="D73" s="100"/>
    </row>
    <row r="74" spans="1:4" x14ac:dyDescent="0.3">
      <c r="A74" s="86" t="s">
        <v>75</v>
      </c>
      <c r="B74" s="91"/>
      <c r="C74" s="63"/>
      <c r="D74" s="100"/>
    </row>
    <row r="75" spans="1:4" x14ac:dyDescent="0.3">
      <c r="A75" s="86"/>
      <c r="B75" s="91"/>
      <c r="C75" s="63"/>
      <c r="D75" s="100"/>
    </row>
    <row r="76" spans="1:4" x14ac:dyDescent="0.3">
      <c r="A76" s="86"/>
      <c r="B76" s="91"/>
      <c r="C76" s="63"/>
      <c r="D76" s="100"/>
    </row>
    <row r="77" spans="1:4" x14ac:dyDescent="0.3">
      <c r="A77" s="86"/>
      <c r="B77" s="5"/>
      <c r="C77" s="28"/>
      <c r="D77" s="102"/>
    </row>
    <row r="78" spans="1:4" x14ac:dyDescent="0.3">
      <c r="A78" s="86"/>
      <c r="B78" s="5"/>
      <c r="C78" s="28"/>
      <c r="D78" s="102"/>
    </row>
    <row r="79" spans="1:4" x14ac:dyDescent="0.3">
      <c r="A79" s="86" t="s">
        <v>65</v>
      </c>
      <c r="B79" s="5"/>
      <c r="C79" s="28"/>
      <c r="D79" s="102">
        <f>ROUND(C80,2)</f>
        <v>6.34</v>
      </c>
    </row>
    <row r="80" spans="1:4" x14ac:dyDescent="0.3">
      <c r="A80" s="86"/>
      <c r="B80" s="5" t="s">
        <v>29</v>
      </c>
      <c r="C80" s="88">
        <f>'187'!C76</f>
        <v>6.34</v>
      </c>
      <c r="D80" s="102"/>
    </row>
    <row r="81" spans="1:5" x14ac:dyDescent="0.3">
      <c r="A81" s="86"/>
      <c r="B81" s="5"/>
      <c r="C81" s="88"/>
      <c r="D81" s="102"/>
    </row>
    <row r="82" spans="1:5" x14ac:dyDescent="0.3">
      <c r="A82" s="86"/>
      <c r="B82" s="5"/>
      <c r="C82" s="28"/>
      <c r="D82" s="102"/>
      <c r="E82" s="3"/>
    </row>
    <row r="83" spans="1:5" x14ac:dyDescent="0.3">
      <c r="A83" s="86" t="s">
        <v>66</v>
      </c>
      <c r="B83" s="5"/>
      <c r="C83" s="5"/>
      <c r="D83" s="102">
        <f>IF(B21&lt;0,ROUND((B22*C84)+(B23*C86),2),ROUND(C84*$B$22,2)+ROUND(C85*$B$21,2)+ROUND(C86*$B$23,2))</f>
        <v>993.37000000000012</v>
      </c>
    </row>
    <row r="84" spans="1:5" x14ac:dyDescent="0.3">
      <c r="A84" s="86"/>
      <c r="B84" s="5" t="s">
        <v>8</v>
      </c>
      <c r="C84" s="28">
        <v>1.7093824943577201</v>
      </c>
      <c r="D84" s="102"/>
    </row>
    <row r="85" spans="1:5" x14ac:dyDescent="0.3">
      <c r="A85" s="86"/>
      <c r="B85" s="5" t="s">
        <v>9</v>
      </c>
      <c r="C85" s="28">
        <v>6.9340000000000005E-4</v>
      </c>
      <c r="D85" s="102"/>
    </row>
    <row r="86" spans="1:5" x14ac:dyDescent="0.3">
      <c r="A86" s="86"/>
      <c r="B86" s="5" t="s">
        <v>10</v>
      </c>
      <c r="C86" s="28">
        <v>0</v>
      </c>
      <c r="D86" s="102"/>
    </row>
    <row r="87" spans="1:5" x14ac:dyDescent="0.3">
      <c r="A87" s="86"/>
      <c r="B87" s="5"/>
      <c r="C87" s="28"/>
      <c r="D87" s="102"/>
    </row>
    <row r="88" spans="1:5" x14ac:dyDescent="0.3">
      <c r="A88" s="86" t="s">
        <v>67</v>
      </c>
      <c r="B88" s="5"/>
      <c r="C88" s="28"/>
      <c r="D88" s="102">
        <f>ROUND((D30+D36)*C89,2)</f>
        <v>-41.53</v>
      </c>
    </row>
    <row r="89" spans="1:5" x14ac:dyDescent="0.3">
      <c r="A89" s="86"/>
      <c r="B89" s="5" t="s">
        <v>30</v>
      </c>
      <c r="C89" s="65">
        <f>'187'!C84</f>
        <v>-1.9311999999999999E-2</v>
      </c>
      <c r="D89" s="102"/>
    </row>
    <row r="90" spans="1:5" x14ac:dyDescent="0.3">
      <c r="A90" s="104"/>
      <c r="B90" s="6"/>
      <c r="C90" s="15"/>
      <c r="D90" s="102"/>
    </row>
    <row r="91" spans="1:5" x14ac:dyDescent="0.3">
      <c r="A91" s="105" t="s">
        <v>18</v>
      </c>
      <c r="B91" s="6"/>
      <c r="C91" s="15"/>
      <c r="D91" s="106">
        <f>SUM(D33:D88)</f>
        <v>5046.8200000000006</v>
      </c>
    </row>
    <row r="92" spans="1:5" x14ac:dyDescent="0.3">
      <c r="A92" s="104"/>
      <c r="B92" s="6"/>
      <c r="C92" s="15"/>
      <c r="D92" s="102"/>
    </row>
    <row r="93" spans="1:5" ht="15" thickBot="1" x14ac:dyDescent="0.35">
      <c r="A93" s="94" t="s">
        <v>12</v>
      </c>
      <c r="B93" s="95"/>
      <c r="C93" s="96"/>
      <c r="D93" s="97">
        <f>SUM(D91+D30)</f>
        <v>5322.5400000000009</v>
      </c>
    </row>
    <row r="94" spans="1:5" x14ac:dyDescent="0.3">
      <c r="A94" s="12"/>
      <c r="B94" s="12"/>
      <c r="C94" s="5"/>
      <c r="D94" s="54"/>
    </row>
    <row r="95" spans="1:5" x14ac:dyDescent="0.3">
      <c r="A95" s="12"/>
      <c r="B95" s="12"/>
      <c r="C95" s="5"/>
      <c r="D95" s="54"/>
    </row>
    <row r="96" spans="1:5" x14ac:dyDescent="0.3">
      <c r="A96" s="48" t="s">
        <v>19</v>
      </c>
      <c r="B96" s="22"/>
      <c r="C96" s="23"/>
      <c r="D96" s="24"/>
    </row>
    <row r="97" spans="1:6" x14ac:dyDescent="0.3">
      <c r="A97" s="53" t="s">
        <v>28</v>
      </c>
      <c r="B97" s="6"/>
      <c r="C97" s="6"/>
      <c r="D97" s="25">
        <f>ROUND(C98*$B$21,2)</f>
        <v>21060.3</v>
      </c>
    </row>
    <row r="98" spans="1:6" x14ac:dyDescent="0.3">
      <c r="A98" s="26"/>
      <c r="B98" s="6" t="s">
        <v>9</v>
      </c>
      <c r="C98" s="15">
        <f>'187'!C94</f>
        <v>0.10530150000000001</v>
      </c>
      <c r="D98" s="25"/>
    </row>
    <row r="99" spans="1:6" x14ac:dyDescent="0.3">
      <c r="A99" s="26"/>
      <c r="B99" s="17"/>
      <c r="C99" s="6"/>
      <c r="D99" s="25"/>
    </row>
    <row r="100" spans="1:6" ht="15" thickBot="1" x14ac:dyDescent="0.35">
      <c r="A100" s="27" t="s">
        <v>21</v>
      </c>
      <c r="B100" s="5"/>
      <c r="C100" s="28"/>
      <c r="D100" s="29">
        <f>SUM(D97)</f>
        <v>21060.3</v>
      </c>
      <c r="F100" s="4"/>
    </row>
    <row r="101" spans="1:6" ht="15" thickTop="1" x14ac:dyDescent="0.3">
      <c r="A101" s="30"/>
      <c r="B101" s="31"/>
      <c r="C101" s="32"/>
      <c r="D101" s="33"/>
      <c r="F101" s="4"/>
    </row>
    <row r="102" spans="1:6" ht="15" thickBot="1" x14ac:dyDescent="0.35">
      <c r="A102" s="18" t="s">
        <v>20</v>
      </c>
      <c r="B102" s="19"/>
      <c r="C102" s="20"/>
      <c r="D102" s="21">
        <f>D100+D93</f>
        <v>26382.84</v>
      </c>
    </row>
    <row r="103" spans="1:6" ht="15.6" thickTop="1" thickBot="1" x14ac:dyDescent="0.35">
      <c r="A103" s="12"/>
      <c r="B103" s="12"/>
      <c r="C103" s="5"/>
      <c r="D103" s="13"/>
      <c r="E103" s="3"/>
      <c r="F103" s="3"/>
    </row>
    <row r="104" spans="1:6" ht="15" thickTop="1" x14ac:dyDescent="0.3">
      <c r="A104" s="12"/>
      <c r="B104" s="108" t="s">
        <v>44</v>
      </c>
      <c r="C104" s="109"/>
      <c r="D104" s="110"/>
    </row>
    <row r="105" spans="1:6" x14ac:dyDescent="0.3">
      <c r="A105" s="5"/>
      <c r="B105" s="34"/>
      <c r="C105" s="5"/>
      <c r="D105" s="35"/>
    </row>
    <row r="106" spans="1:6" x14ac:dyDescent="0.3">
      <c r="A106" s="5"/>
      <c r="B106" s="36" t="s">
        <v>43</v>
      </c>
      <c r="C106" s="37"/>
      <c r="D106" s="35"/>
    </row>
    <row r="107" spans="1:6" x14ac:dyDescent="0.3">
      <c r="A107" s="5"/>
      <c r="B107" s="38" t="s">
        <v>13</v>
      </c>
      <c r="C107" s="5"/>
      <c r="D107" s="39">
        <f>D30</f>
        <v>275.72000000000003</v>
      </c>
    </row>
    <row r="108" spans="1:6" x14ac:dyDescent="0.3">
      <c r="A108" s="5"/>
      <c r="B108" s="38" t="s">
        <v>22</v>
      </c>
      <c r="C108" s="5"/>
      <c r="D108" s="39">
        <f>D91</f>
        <v>5046.8200000000006</v>
      </c>
    </row>
    <row r="109" spans="1:6" x14ac:dyDescent="0.3">
      <c r="A109" s="5"/>
      <c r="B109" s="40" t="s">
        <v>45</v>
      </c>
      <c r="C109" s="5"/>
      <c r="D109" s="41">
        <f>D93</f>
        <v>5322.5400000000009</v>
      </c>
    </row>
    <row r="110" spans="1:6" x14ac:dyDescent="0.3">
      <c r="A110" s="5"/>
      <c r="B110" s="42"/>
      <c r="C110" s="5"/>
      <c r="D110" s="39"/>
    </row>
    <row r="111" spans="1:6" x14ac:dyDescent="0.3">
      <c r="A111" s="5"/>
      <c r="B111" s="43" t="s">
        <v>23</v>
      </c>
      <c r="C111" s="5"/>
      <c r="D111" s="39"/>
    </row>
    <row r="112" spans="1:6" ht="15" thickBot="1" x14ac:dyDescent="0.35">
      <c r="A112" s="5"/>
      <c r="B112" s="44" t="s">
        <v>24</v>
      </c>
      <c r="C112" s="45"/>
      <c r="D112" s="46">
        <f>D100</f>
        <v>21060.3</v>
      </c>
    </row>
    <row r="113" spans="1:2" ht="15" thickTop="1" x14ac:dyDescent="0.3">
      <c r="A113" s="3"/>
    </row>
    <row r="114" spans="1:2" x14ac:dyDescent="0.3">
      <c r="A114" s="3"/>
    </row>
    <row r="117" spans="1:2" x14ac:dyDescent="0.3">
      <c r="A117" s="3"/>
      <c r="B117" s="3"/>
    </row>
  </sheetData>
  <sheetProtection algorithmName="SHA-512" hashValue="KCdRmNUYgb2R5H7uORwUe9aNeSQHL+oMUZHpKHf3NAY/8WWXlU+hS4QIt9t/FgGeijzTsdbYISwln3A7wk97Dg==" saltValue="4VYNIUTC+O4A4F2D5Ak2kA==" spinCount="100000" sheet="1" selectLockedCells="1"/>
  <mergeCells count="9">
    <mergeCell ref="A17:D17"/>
    <mergeCell ref="B104:D104"/>
    <mergeCell ref="A7:D7"/>
    <mergeCell ref="A1:D1"/>
    <mergeCell ref="A2:D2"/>
    <mergeCell ref="A5:D5"/>
    <mergeCell ref="A6:D6"/>
    <mergeCell ref="A8:D15"/>
    <mergeCell ref="A16:D16"/>
  </mergeCells>
  <conditionalFormatting sqref="C1:D6 C105:D65544">
    <cfRule type="cellIs" dxfId="1" priority="6" operator="lessThan">
      <formula>0</formula>
    </cfRule>
  </conditionalFormatting>
  <conditionalFormatting sqref="C16:D103">
    <cfRule type="cellIs" dxfId="0" priority="1" operator="lessThan">
      <formula>0</formula>
    </cfRule>
  </conditionalFormatting>
  <dataValidations count="2">
    <dataValidation type="decimal" errorStyle="information" allowBlank="1" showInputMessage="1" showErrorMessage="1" errorTitle="Invalid Entry" error="This cell must contain a positive number." sqref="B19:B23" xr:uid="{00000000-0002-0000-0100-000000000000}">
      <formula1>0</formula1>
      <formula2>100000000</formula2>
    </dataValidation>
    <dataValidation errorStyle="information" allowBlank="1" showInputMessage="1" showErrorMessage="1" errorTitle="Invalid Entry" error="This cell must contain a positive number." sqref="B24:B27" xr:uid="{00000000-0002-0000-0100-000001000000}"/>
  </dataValidations>
  <printOptions horizontalCentered="1"/>
  <pageMargins left="0.7" right="0.7" top="0.75" bottom="0.75" header="0.3" footer="0.3"/>
  <pageSetup scale="76" orientation="portrait" r:id="rId1"/>
  <headerFooter>
    <oddHeader>&amp;L&amp;G&amp;R&amp;"Arial,Regular"Effective April 1, 2024</oddHeader>
    <oddFooter>&amp;L&amp;"Arial,Regular"Worksheet valid for calculating bills starting on April 1, 2024.  This billing worksheet does not take into account the maximum billing charges for this rate structure.</oddFooter>
  </headerFooter>
  <ignoredErrors>
    <ignoredError sqref="B21" unlockedFormula="1"/>
  </ignoredError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35DA127EFEA643A071466D67462D58" ma:contentTypeVersion="18" ma:contentTypeDescription="Create a new document." ma:contentTypeScope="" ma:versionID="bb4d01d89fac8602414c897f6783ecea">
  <xsd:schema xmlns:xsd="http://www.w3.org/2001/XMLSchema" xmlns:xs="http://www.w3.org/2001/XMLSchema" xmlns:p="http://schemas.microsoft.com/office/2006/metadata/properties" xmlns:ns2="64e94169-021c-4578-be09-6006b4dea068" xmlns:ns3="8e537545-18ac-42cc-8f2a-89499299f0e1" targetNamespace="http://schemas.microsoft.com/office/2006/metadata/properties" ma:root="true" ma:fieldsID="adac88aae904a8fc569624feeb3c92b0" ns2:_="" ns3:_="">
    <xsd:import namespace="64e94169-021c-4578-be09-6006b4dea068"/>
    <xsd:import namespace="8e537545-18ac-42cc-8f2a-89499299f0e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_Flow_SignoffStatus"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e94169-021c-4578-be09-6006b4dea0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_Flow_SignoffStatus" ma:index="19" nillable="true" ma:displayName="Sign-off status" ma:internalName="Sign_x002d_off_x0020_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d4df7da-c195-4679-b09b-159ed35ba17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e537545-18ac-42cc-8f2a-89499299f0e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45159a9-6d9c-4454-b472-74cf3cb3e2d5}" ma:internalName="TaxCatchAll" ma:showField="CatchAllData" ma:web="8e537545-18ac-42cc-8f2a-89499299f0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64e94169-021c-4578-be09-6006b4dea068" xsi:nil="true"/>
    <TaxCatchAll xmlns="8e537545-18ac-42cc-8f2a-89499299f0e1" xsi:nil="true"/>
    <lcf76f155ced4ddcb4097134ff3c332f xmlns="64e94169-021c-4578-be09-6006b4dea06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990672B-AC6E-494F-8870-0945792ACE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e94169-021c-4578-be09-6006b4dea068"/>
    <ds:schemaRef ds:uri="8e537545-18ac-42cc-8f2a-89499299f0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483DCF-508D-41E7-B95C-73B9999D0958}">
  <ds:schemaRefs>
    <ds:schemaRef ds:uri="http://schemas.microsoft.com/sharepoint/v3/contenttype/forms"/>
  </ds:schemaRefs>
</ds:datastoreItem>
</file>

<file path=customXml/itemProps3.xml><?xml version="1.0" encoding="utf-8"?>
<ds:datastoreItem xmlns:ds="http://schemas.openxmlformats.org/officeDocument/2006/customXml" ds:itemID="{372B550F-07E4-4E9B-B420-ADB294426688}">
  <ds:schemaRefs>
    <ds:schemaRef ds:uri="http://www.w3.org/XML/1998/namespace"/>
    <ds:schemaRef ds:uri="http://purl.org/dc/dcmitype/"/>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elements/1.1/"/>
    <ds:schemaRef ds:uri="http://schemas.microsoft.com/office/infopath/2007/PartnerControls"/>
    <ds:schemaRef ds:uri="8e537545-18ac-42cc-8f2a-89499299f0e1"/>
    <ds:schemaRef ds:uri="64e94169-021c-4578-be09-6006b4dea06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187</vt:lpstr>
      <vt:lpstr>187 Net Metering</vt:lpstr>
    </vt:vector>
  </TitlesOfParts>
  <Company>The Dayton Power and Light Company,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Blevins</dc:creator>
  <cp:lastModifiedBy>Sakshee Vaidya</cp:lastModifiedBy>
  <cp:lastPrinted>2016-03-29T19:56:18Z</cp:lastPrinted>
  <dcterms:created xsi:type="dcterms:W3CDTF">2010-05-07T14:07:10Z</dcterms:created>
  <dcterms:modified xsi:type="dcterms:W3CDTF">2024-03-29T13:35:45Z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0x010100F335DA127EFEA643A071466D67462D58</vt:lpwstr>
  </property>
  <property fmtid="{D5CDD505-2E9C-101B-9397-08002B2CF9AE}" pid="3" name="MediaServiceImageTags">
    <vt:lpwstr/>
  </property>
</Properties>
</file>