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ll Calculators\Bill Calculator Guides\April 1, 2024\"/>
    </mc:Choice>
  </mc:AlternateContent>
  <xr:revisionPtr revIDLastSave="0" documentId="13_ncr:1_{7A52B78B-3170-4602-8C13-C89110DF300D}" xr6:coauthVersionLast="47" xr6:coauthVersionMax="47" xr10:uidLastSave="{00000000-0000-0000-0000-000000000000}"/>
  <workbookProtection workbookPassword="EE7D" lockStructure="1"/>
  <bookViews>
    <workbookView xWindow="-108" yWindow="-108" windowWidth="23256" windowHeight="12456" xr2:uid="{00000000-000D-0000-FFFF-FFFF00000000}"/>
  </bookViews>
  <sheets>
    <sheet name="241 S" sheetId="1" r:id="rId1"/>
    <sheet name="241 S - Net Metering" sheetId="4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4" l="1"/>
  <c r="C64" i="4"/>
  <c r="D60" i="4"/>
  <c r="D61" i="1"/>
  <c r="D55" i="1"/>
  <c r="D26" i="1"/>
  <c r="D52" i="1"/>
  <c r="D58" i="1"/>
  <c r="D32" i="1"/>
  <c r="C77" i="4"/>
  <c r="D44" i="1"/>
  <c r="C36" i="4"/>
  <c r="D35" i="4" s="1"/>
  <c r="C39" i="4"/>
  <c r="C42" i="4"/>
  <c r="C45" i="4"/>
  <c r="C48" i="4"/>
  <c r="C50" i="4"/>
  <c r="D26" i="4"/>
  <c r="C71" i="4"/>
  <c r="D70" i="4" s="1"/>
  <c r="C74" i="4"/>
  <c r="D68" i="1"/>
  <c r="C86" i="4"/>
  <c r="C85" i="4"/>
  <c r="C52" i="4"/>
  <c r="C51" i="4"/>
  <c r="B19" i="4"/>
  <c r="D57" i="4" s="1"/>
  <c r="D23" i="1"/>
  <c r="D35" i="1"/>
  <c r="D71" i="1"/>
  <c r="D41" i="1"/>
  <c r="D38" i="1"/>
  <c r="D29" i="1"/>
  <c r="D83" i="1"/>
  <c r="D87" i="1" s="1"/>
  <c r="D47" i="1"/>
  <c r="D41" i="4" l="1"/>
  <c r="D32" i="4"/>
  <c r="D29" i="4" s="1"/>
  <c r="D47" i="4"/>
  <c r="D44" i="4"/>
  <c r="D49" i="4"/>
  <c r="D84" i="4"/>
  <c r="D88" i="4" s="1"/>
  <c r="D99" i="4" s="1"/>
  <c r="D73" i="4"/>
  <c r="D38" i="4"/>
  <c r="D99" i="1"/>
  <c r="D20" i="1"/>
  <c r="D74" i="1"/>
  <c r="D94" i="1"/>
  <c r="D76" i="4"/>
  <c r="D94" i="4"/>
  <c r="D54" i="4" l="1"/>
  <c r="D63" i="4"/>
  <c r="D23" i="4"/>
  <c r="D77" i="1"/>
  <c r="D95" i="1" s="1"/>
  <c r="D79" i="4" l="1"/>
  <c r="D81" i="4" s="1"/>
  <c r="D90" i="4" s="1"/>
  <c r="D21" i="4" s="1"/>
  <c r="D79" i="1"/>
  <c r="D89" i="1" s="1"/>
  <c r="D18" i="1" s="1"/>
  <c r="D95" i="4" l="1"/>
  <c r="D96" i="4"/>
  <c r="D96" i="1"/>
</calcChain>
</file>

<file path=xl/sharedStrings.xml><?xml version="1.0" encoding="utf-8"?>
<sst xmlns="http://schemas.openxmlformats.org/spreadsheetml/2006/main" count="133" uniqueCount="69">
  <si>
    <t>You will need:</t>
  </si>
  <si>
    <t xml:space="preserve">kWh Usage:    </t>
  </si>
  <si>
    <t xml:space="preserve">A flat fee per billing period of </t>
  </si>
  <si>
    <t>Multiply the Billed kWh by</t>
  </si>
  <si>
    <t xml:space="preserve">0 – 2,000 kWh multiply by </t>
  </si>
  <si>
    <t xml:space="preserve">2,001 – 15,000 kWh multiply by </t>
  </si>
  <si>
    <t xml:space="preserve">over 15,000 kWh multiply by </t>
  </si>
  <si>
    <t>0 – 750 kWh multiply by</t>
  </si>
  <si>
    <t xml:space="preserve">all kWh over 750 multiply by </t>
  </si>
  <si>
    <t xml:space="preserve">Customer Charge (D18):  </t>
  </si>
  <si>
    <t>Customer Charge</t>
  </si>
  <si>
    <t xml:space="preserve">Other Delivery Charges: </t>
  </si>
  <si>
    <t xml:space="preserve">Other Delivery Charges Total: </t>
  </si>
  <si>
    <t xml:space="preserve">Supply Charges: </t>
  </si>
  <si>
    <t xml:space="preserve">Supply Total: </t>
  </si>
  <si>
    <t xml:space="preserve">Total Bill: </t>
  </si>
  <si>
    <t>Other Delivery Charges</t>
  </si>
  <si>
    <t>Supply Total:</t>
  </si>
  <si>
    <t>Total Bill</t>
  </si>
  <si>
    <t>Price - To - Compare</t>
  </si>
  <si>
    <r>
      <t>To verify that your bill does not span across both a summer and a winter month (i.e. billing period of October 15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– November 15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>).  This rate worksheet will not correctly prorate bills that span across a summer and a winter month.</t>
    </r>
  </si>
  <si>
    <t>Input usage below</t>
  </si>
  <si>
    <t>Residential (Rate 241 - Summer) PIPP</t>
  </si>
  <si>
    <t xml:space="preserve">For Rate 241, you will need to find the total electric usage for the month. </t>
  </si>
  <si>
    <t>Usage Detail</t>
  </si>
  <si>
    <t>Standard Offer Rate (G10):</t>
  </si>
  <si>
    <t xml:space="preserve">% of Base Distribution </t>
  </si>
  <si>
    <t xml:space="preserve">        Storm Cost Recovery Rider (D30):</t>
  </si>
  <si>
    <t>Residential (Rate 241 - Summer) PIPP - Net Metering</t>
  </si>
  <si>
    <t xml:space="preserve">kWh Actual:    </t>
  </si>
  <si>
    <t>kWh Received:</t>
  </si>
  <si>
    <t>kWh Net:</t>
  </si>
  <si>
    <t>As a Net Metering customer you will enter Actual and Received kWh located on your bill.</t>
  </si>
  <si>
    <t xml:space="preserve">         Legacy Generation Rider (D40)</t>
  </si>
  <si>
    <t>How to Calculate Your AES Ohio Bill</t>
  </si>
  <si>
    <t>To verify you are on Rate 241-  find the section near the middle of your AES Ohio bill labeled “Usage Detail", below which the column titled "Rate"  should read 241.</t>
  </si>
  <si>
    <t>Your monthly kWh Usage is to the left of your Rate number on your AES Ohio bill. See example below.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</si>
  <si>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 Net Metering customers see second tab for rates.</t>
  </si>
  <si>
    <t xml:space="preserve">AES Ohio Delivery Charges: </t>
  </si>
  <si>
    <t>How charges appear on AES Ohio's bill</t>
  </si>
  <si>
    <t>AES Ohio Delivery Total: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</si>
  <si>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</t>
  </si>
  <si>
    <t xml:space="preserve">         Solar Generation Fund Rider (D27):</t>
  </si>
  <si>
    <t>Multiply all Billed kWh by</t>
  </si>
  <si>
    <t xml:space="preserve">           Regulatory Compliance Rider (D31):</t>
  </si>
  <si>
    <t xml:space="preserve">          Energy Charge (D18):</t>
  </si>
  <si>
    <t xml:space="preserve">         Universal Service Rider (D28):</t>
  </si>
  <si>
    <t xml:space="preserve">         Energy Efficiency Rider (D38):</t>
  </si>
  <si>
    <t xml:space="preserve">         Economic Development Rider (D39):</t>
  </si>
  <si>
    <t xml:space="preserve">         Excise Tax (D33):</t>
  </si>
  <si>
    <t xml:space="preserve">        Infrastructure Investment Rider (D29):</t>
  </si>
  <si>
    <r>
      <t>Total Distribution Charges</t>
    </r>
    <r>
      <rPr>
        <sz val="12"/>
        <color indexed="8"/>
        <rFont val="Arial"/>
        <family val="2"/>
      </rPr>
      <t xml:space="preserve"> </t>
    </r>
  </si>
  <si>
    <t xml:space="preserve">       Proactive Reliability Optimization Rider (D32):</t>
  </si>
  <si>
    <t xml:space="preserve">       Customer Programs Rider (D37):</t>
  </si>
  <si>
    <t xml:space="preserve">       Distribution Investment Rider (D36):</t>
  </si>
  <si>
    <t xml:space="preserve">        Transmission Cost Recovery Rider - Non-bypassable (T8):</t>
  </si>
  <si>
    <t xml:space="preserve">       Tax Credit Savings Rider (D41):</t>
  </si>
  <si>
    <t xml:space="preserve">          Universal Service Rider (D28):</t>
  </si>
  <si>
    <t xml:space="preserve">          Solar Generation Fund Rider (D27):</t>
  </si>
  <si>
    <t xml:space="preserve">        Customer Programs Rider (D37):</t>
  </si>
  <si>
    <t xml:space="preserve">        Proactive Reliability Optimization Rider (D32):</t>
  </si>
  <si>
    <t xml:space="preserve">        Distribution Investment Rider (D36):</t>
  </si>
  <si>
    <t xml:space="preserve">       Storm Cost Recovery Rider (D30):</t>
  </si>
  <si>
    <t xml:space="preserve">       Transmission Cost Recovery Rider - Non-bypassable (T8):</t>
  </si>
  <si>
    <t xml:space="preserve">          Regulatory Compliance Rider (D31):</t>
  </si>
  <si>
    <t xml:space="preserve">       Reserved for future use</t>
  </si>
  <si>
    <t xml:space="preserve">        Reserved for future use</t>
  </si>
  <si>
    <t xml:space="preserve">        Infrastrucure Investment Rider (D29):</t>
  </si>
  <si>
    <t>A flat fee per billing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</si>
</sst>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"/>
    <numFmt numFmtId="166" formatCode="_(&quot;$&quot;* #,##0.0000000_);_(&quot;$&quot;* \(#,##0.0000000\);_(&quot;$&quot;* &quot;-&quot;??_);_(@_)"/>
    <numFmt numFmtId="167" formatCode="_(* #,##0_);_(* \(#,##0\);_(* &quot;-&quot;??_);_(@_)"/>
    <numFmt numFmtId="168" formatCode="#,##0;[Red]#,##0"/>
    <numFmt numFmtId="169" formatCode="0.000"/>
    <numFmt numFmtId="170" formatCode="0.00000%"/>
    <numFmt numFmtId="171" formatCode="#,##0.0;[Red]#,##0.0"/>
    <numFmt numFmtId="172" formatCode="0.000%"/>
    <numFmt numFmtId="173" formatCode="0.000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rgb="FF0054A4"/>
      <name val="Arial"/>
      <family val="2"/>
    </font>
    <font>
      <b/>
      <sz val="14"/>
      <color rgb="FF0054A4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1973E"/>
        <bgColor indexed="64"/>
      </patternFill>
    </fill>
    <fill>
      <patternFill patternType="solid">
        <fgColor rgb="FF0054A4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rgb="FF61973E"/>
      </top>
      <bottom/>
      <diagonal/>
    </border>
    <border>
      <left/>
      <right style="thick">
        <color rgb="FF61973E"/>
      </right>
      <top style="thick">
        <color rgb="FF61973E"/>
      </top>
      <bottom/>
      <diagonal/>
    </border>
    <border>
      <left style="thick">
        <color rgb="FF61973E"/>
      </left>
      <right/>
      <top/>
      <bottom/>
      <diagonal/>
    </border>
    <border>
      <left/>
      <right style="thick">
        <color rgb="FF61973E"/>
      </right>
      <top/>
      <bottom/>
      <diagonal/>
    </border>
    <border>
      <left style="thick">
        <color rgb="FF61973E"/>
      </left>
      <right/>
      <top/>
      <bottom style="thick">
        <color rgb="FF61973E"/>
      </bottom>
      <diagonal/>
    </border>
    <border>
      <left/>
      <right/>
      <top/>
      <bottom style="thick">
        <color rgb="FF61973E"/>
      </bottom>
      <diagonal/>
    </border>
    <border>
      <left/>
      <right style="thick">
        <color rgb="FF61973E"/>
      </right>
      <top/>
      <bottom style="thick">
        <color rgb="FF61973E"/>
      </bottom>
      <diagonal/>
    </border>
    <border>
      <left style="thick">
        <color rgb="FF0054A4"/>
      </left>
      <right/>
      <top/>
      <bottom/>
      <diagonal/>
    </border>
    <border>
      <left/>
      <right style="thick">
        <color rgb="FF0054A4"/>
      </right>
      <top/>
      <bottom/>
      <diagonal/>
    </border>
    <border>
      <left style="thick">
        <color rgb="FF0054A4"/>
      </left>
      <right/>
      <top/>
      <bottom style="thick">
        <color rgb="FF0054A4"/>
      </bottom>
      <diagonal/>
    </border>
    <border>
      <left/>
      <right/>
      <top/>
      <bottom style="thick">
        <color rgb="FF0054A4"/>
      </bottom>
      <diagonal/>
    </border>
    <border>
      <left/>
      <right style="thick">
        <color rgb="FF0054A4"/>
      </right>
      <top/>
      <bottom style="thick">
        <color rgb="FF0054A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ck">
        <color rgb="FF61973E"/>
      </left>
      <right/>
      <top style="thick">
        <color rgb="FF61973E"/>
      </top>
      <bottom/>
      <diagonal/>
    </border>
    <border>
      <left style="thick">
        <color rgb="FF0054A4"/>
      </left>
      <right/>
      <top style="thick">
        <color rgb="FF0054A4"/>
      </top>
      <bottom/>
      <diagonal/>
    </border>
    <border>
      <left/>
      <right/>
      <top style="thick">
        <color rgb="FF0054A4"/>
      </top>
      <bottom/>
      <diagonal/>
    </border>
    <border>
      <left/>
      <right style="thick">
        <color rgb="FF0054A4"/>
      </right>
      <top style="thick">
        <color rgb="FF0054A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9" fillId="0" borderId="0" xfId="0" applyFont="1"/>
    <xf numFmtId="0" fontId="10" fillId="0" borderId="0" xfId="0" applyFont="1"/>
    <xf numFmtId="167" fontId="4" fillId="2" borderId="0" xfId="1" applyNumberFormat="1" applyFont="1" applyFill="1" applyBorder="1"/>
    <xf numFmtId="44" fontId="11" fillId="2" borderId="0" xfId="0" applyNumberFormat="1" applyFont="1" applyFill="1"/>
    <xf numFmtId="167" fontId="4" fillId="0" borderId="0" xfId="1" applyNumberFormat="1" applyFont="1" applyBorder="1"/>
    <xf numFmtId="169" fontId="11" fillId="2" borderId="0" xfId="0" applyNumberFormat="1" applyFont="1" applyFill="1"/>
    <xf numFmtId="167" fontId="12" fillId="0" borderId="0" xfId="1" applyNumberFormat="1" applyFont="1" applyBorder="1"/>
    <xf numFmtId="0" fontId="10" fillId="2" borderId="0" xfId="0" applyFont="1" applyFill="1"/>
    <xf numFmtId="0" fontId="11" fillId="0" borderId="0" xfId="0" applyFont="1" applyAlignment="1">
      <alignment horizontal="center"/>
    </xf>
    <xf numFmtId="168" fontId="6" fillId="0" borderId="20" xfId="1" applyNumberFormat="1" applyFont="1" applyBorder="1" applyProtection="1">
      <protection locked="0"/>
    </xf>
    <xf numFmtId="0" fontId="10" fillId="0" borderId="0" xfId="0" applyFont="1" applyAlignment="1">
      <alignment horizontal="left" wrapText="1"/>
    </xf>
    <xf numFmtId="0" fontId="13" fillId="0" borderId="0" xfId="0" applyFont="1"/>
    <xf numFmtId="166" fontId="13" fillId="0" borderId="0" xfId="0" applyNumberFormat="1" applyFont="1"/>
    <xf numFmtId="168" fontId="7" fillId="0" borderId="20" xfId="1" applyNumberFormat="1" applyFont="1" applyBorder="1" applyProtection="1">
      <protection locked="0"/>
    </xf>
    <xf numFmtId="44" fontId="13" fillId="0" borderId="9" xfId="4" applyFont="1" applyBorder="1"/>
    <xf numFmtId="171" fontId="6" fillId="0" borderId="6" xfId="1" applyNumberFormat="1" applyFont="1" applyBorder="1" applyProtection="1"/>
    <xf numFmtId="44" fontId="13" fillId="0" borderId="7" xfId="4" applyFont="1" applyBorder="1"/>
    <xf numFmtId="0" fontId="14" fillId="0" borderId="0" xfId="0" applyFont="1"/>
    <xf numFmtId="170" fontId="13" fillId="0" borderId="0" xfId="8" applyNumberFormat="1" applyFont="1" applyFill="1" applyBorder="1"/>
    <xf numFmtId="164" fontId="13" fillId="0" borderId="2" xfId="0" applyNumberFormat="1" applyFont="1" applyBorder="1"/>
    <xf numFmtId="0" fontId="18" fillId="0" borderId="25" xfId="0" applyFont="1" applyBorder="1" applyAlignment="1">
      <alignment horizontal="left"/>
    </xf>
    <xf numFmtId="0" fontId="13" fillId="0" borderId="26" xfId="0" applyFont="1" applyBorder="1"/>
    <xf numFmtId="0" fontId="13" fillId="0" borderId="27" xfId="0" applyFont="1" applyBorder="1" applyAlignment="1">
      <alignment horizontal="left"/>
    </xf>
    <xf numFmtId="44" fontId="13" fillId="0" borderId="0" xfId="4" applyFont="1" applyFill="1" applyBorder="1"/>
    <xf numFmtId="0" fontId="18" fillId="0" borderId="27" xfId="0" applyFont="1" applyBorder="1" applyAlignment="1">
      <alignment horizontal="left"/>
    </xf>
    <xf numFmtId="166" fontId="13" fillId="0" borderId="0" xfId="4" applyNumberFormat="1" applyFont="1" applyFill="1" applyBorder="1"/>
    <xf numFmtId="0" fontId="18" fillId="0" borderId="0" xfId="0" applyFont="1"/>
    <xf numFmtId="0" fontId="18" fillId="0" borderId="3" xfId="0" applyFont="1" applyBorder="1"/>
    <xf numFmtId="44" fontId="18" fillId="0" borderId="5" xfId="4" applyFont="1" applyBorder="1"/>
    <xf numFmtId="44" fontId="13" fillId="0" borderId="0" xfId="4" applyFont="1"/>
    <xf numFmtId="164" fontId="13" fillId="0" borderId="0" xfId="0" applyNumberFormat="1" applyFont="1"/>
    <xf numFmtId="0" fontId="20" fillId="3" borderId="0" xfId="0" applyFont="1" applyFill="1"/>
    <xf numFmtId="0" fontId="21" fillId="3" borderId="0" xfId="0" applyFont="1" applyFill="1"/>
    <xf numFmtId="164" fontId="21" fillId="3" borderId="0" xfId="0" applyNumberFormat="1" applyFont="1" applyFill="1"/>
    <xf numFmtId="0" fontId="13" fillId="0" borderId="21" xfId="0" applyFont="1" applyBorder="1" applyAlignment="1">
      <alignment horizontal="left" indent="4"/>
    </xf>
    <xf numFmtId="0" fontId="13" fillId="0" borderId="8" xfId="0" applyFont="1" applyBorder="1"/>
    <xf numFmtId="0" fontId="13" fillId="0" borderId="10" xfId="0" applyFont="1" applyBorder="1"/>
    <xf numFmtId="164" fontId="13" fillId="0" borderId="11" xfId="0" applyNumberFormat="1" applyFont="1" applyBorder="1"/>
    <xf numFmtId="0" fontId="18" fillId="0" borderId="10" xfId="0" applyFont="1" applyBorder="1"/>
    <xf numFmtId="0" fontId="18" fillId="0" borderId="12" xfId="0" applyFont="1" applyBorder="1"/>
    <xf numFmtId="0" fontId="18" fillId="0" borderId="13" xfId="0" applyFont="1" applyBorder="1"/>
    <xf numFmtId="0" fontId="13" fillId="0" borderId="13" xfId="0" applyFont="1" applyBorder="1"/>
    <xf numFmtId="44" fontId="18" fillId="0" borderId="14" xfId="4" applyFont="1" applyBorder="1"/>
    <xf numFmtId="0" fontId="18" fillId="0" borderId="1" xfId="0" applyFont="1" applyBorder="1"/>
    <xf numFmtId="0" fontId="13" fillId="0" borderId="15" xfId="0" applyFont="1" applyBorder="1"/>
    <xf numFmtId="0" fontId="13" fillId="0" borderId="16" xfId="0" applyFont="1" applyBorder="1"/>
    <xf numFmtId="0" fontId="18" fillId="0" borderId="15" xfId="0" applyFont="1" applyBorder="1"/>
    <xf numFmtId="0" fontId="18" fillId="0" borderId="0" xfId="0" applyFont="1" applyAlignment="1">
      <alignment horizontal="left"/>
    </xf>
    <xf numFmtId="0" fontId="13" fillId="0" borderId="15" xfId="0" applyFont="1" applyBorder="1" applyAlignment="1">
      <alignment horizontal="left" indent="5"/>
    </xf>
    <xf numFmtId="44" fontId="13" fillId="0" borderId="16" xfId="4" applyFont="1" applyFill="1" applyBorder="1"/>
    <xf numFmtId="0" fontId="18" fillId="0" borderId="15" xfId="0" applyFont="1" applyBorder="1" applyAlignment="1">
      <alignment horizontal="left" indent="5"/>
    </xf>
    <xf numFmtId="44" fontId="18" fillId="0" borderId="16" xfId="4" applyFont="1" applyFill="1" applyBorder="1"/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 indent="5"/>
    </xf>
    <xf numFmtId="0" fontId="18" fillId="0" borderId="18" xfId="0" applyFont="1" applyBorder="1"/>
    <xf numFmtId="44" fontId="18" fillId="0" borderId="19" xfId="4" applyFont="1" applyFill="1" applyBorder="1"/>
    <xf numFmtId="44" fontId="13" fillId="0" borderId="7" xfId="0" applyNumberFormat="1" applyFont="1" applyBorder="1"/>
    <xf numFmtId="164" fontId="13" fillId="0" borderId="7" xfId="0" applyNumberFormat="1" applyFont="1" applyBorder="1"/>
    <xf numFmtId="0" fontId="13" fillId="0" borderId="27" xfId="0" applyFont="1" applyBorder="1"/>
    <xf numFmtId="173" fontId="13" fillId="0" borderId="0" xfId="8" applyNumberFormat="1" applyFont="1" applyFill="1" applyBorder="1"/>
    <xf numFmtId="164" fontId="13" fillId="0" borderId="0" xfId="8" applyNumberFormat="1" applyFont="1" applyFill="1" applyBorder="1"/>
    <xf numFmtId="10" fontId="13" fillId="0" borderId="0" xfId="8" applyNumberFormat="1" applyFont="1" applyFill="1" applyBorder="1"/>
    <xf numFmtId="0" fontId="11" fillId="0" borderId="28" xfId="0" applyFont="1" applyBorder="1"/>
    <xf numFmtId="0" fontId="11" fillId="0" borderId="29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31" xfId="0" applyFont="1" applyBorder="1"/>
    <xf numFmtId="8" fontId="13" fillId="0" borderId="0" xfId="0" applyNumberFormat="1" applyFont="1"/>
    <xf numFmtId="172" fontId="13" fillId="0" borderId="0" xfId="0" applyNumberFormat="1" applyFont="1"/>
    <xf numFmtId="165" fontId="13" fillId="0" borderId="0" xfId="0" applyNumberFormat="1" applyFont="1"/>
    <xf numFmtId="0" fontId="7" fillId="0" borderId="0" xfId="0" applyFont="1"/>
    <xf numFmtId="44" fontId="13" fillId="0" borderId="7" xfId="4" applyFont="1" applyFill="1" applyBorder="1"/>
    <xf numFmtId="44" fontId="13" fillId="0" borderId="0" xfId="0" applyNumberFormat="1" applyFont="1"/>
    <xf numFmtId="0" fontId="18" fillId="0" borderId="27" xfId="0" applyFont="1" applyBorder="1" applyAlignment="1">
      <alignment horizontal="left" indent="2"/>
    </xf>
    <xf numFmtId="0" fontId="18" fillId="0" borderId="0" xfId="0" applyFont="1" applyAlignment="1">
      <alignment horizontal="left" indent="2"/>
    </xf>
    <xf numFmtId="0" fontId="18" fillId="0" borderId="32" xfId="0" applyFont="1" applyBorder="1"/>
    <xf numFmtId="0" fontId="18" fillId="0" borderId="33" xfId="0" applyFont="1" applyBorder="1"/>
    <xf numFmtId="0" fontId="13" fillId="0" borderId="33" xfId="0" applyFont="1" applyBorder="1"/>
    <xf numFmtId="44" fontId="18" fillId="0" borderId="34" xfId="4" applyFont="1" applyBorder="1"/>
    <xf numFmtId="44" fontId="13" fillId="0" borderId="31" xfId="4" applyFont="1" applyBorder="1"/>
    <xf numFmtId="0" fontId="18" fillId="0" borderId="27" xfId="0" applyFont="1" applyBorder="1"/>
    <xf numFmtId="0" fontId="18" fillId="0" borderId="28" xfId="0" applyFont="1" applyBorder="1"/>
    <xf numFmtId="0" fontId="18" fillId="0" borderId="29" xfId="0" applyFont="1" applyBorder="1"/>
    <xf numFmtId="0" fontId="13" fillId="0" borderId="29" xfId="0" applyFont="1" applyBorder="1"/>
    <xf numFmtId="0" fontId="13" fillId="0" borderId="30" xfId="0" applyFont="1" applyBorder="1"/>
    <xf numFmtId="0" fontId="0" fillId="0" borderId="27" xfId="0" applyBorder="1"/>
    <xf numFmtId="0" fontId="20" fillId="4" borderId="22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17" fillId="0" borderId="0" xfId="0" applyFont="1" applyAlignment="1">
      <alignment horizontal="left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Normal" xfId="0" builtinId="0"/>
    <cellStyle name="Normal 2" xfId="7" xr:uid="{00000000-0005-0000-0000-000007000000}"/>
    <cellStyle name="Percent" xfId="8" builtinId="5"/>
    <cellStyle name="Percent 2" xfId="9" xr:uid="{00000000-0005-0000-0000-000009000000}"/>
    <cellStyle name="Percent 3" xfId="10" xr:uid="{00000000-0005-0000-0000-00000A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565150</xdr:colOff>
      <xdr:row>6</xdr:row>
      <xdr:rowOff>177800</xdr:rowOff>
    </xdr:from>
    <xdr:to>
      <xdr:col>3</xdr:col>
      <xdr:colOff>511175</xdr:colOff>
      <xdr:row>10</xdr:row>
      <xdr:rowOff>19050</xdr:rowOff>
    </xdr:to>
    <xdr:pic>
      <xdr:nvPicPr>
        <xdr:cNvPr id="1105" name="Picture 2">
          <a:extLst>
            <a:ext uri="{FF2B5EF4-FFF2-40B4-BE49-F238E27FC236}">
              <a16:creationId xmlns:a16="http://schemas.microsoft.com/office/drawing/2014/main" id="{02899A27-241F-470A-B535-DE7CB12C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150" y="1568450"/>
          <a:ext cx="6527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215900</xdr:rowOff>
    </xdr:from>
    <xdr:to>
      <xdr:col>3</xdr:col>
      <xdr:colOff>0</xdr:colOff>
      <xdr:row>11</xdr:row>
      <xdr:rowOff>466725</xdr:rowOff>
    </xdr:to>
    <xdr:pic>
      <xdr:nvPicPr>
        <xdr:cNvPr id="2098" name="Picture 2">
          <a:extLst>
            <a:ext uri="{FF2B5EF4-FFF2-40B4-BE49-F238E27FC236}">
              <a16:creationId xmlns:a16="http://schemas.microsoft.com/office/drawing/2014/main" id="{E4382A9D-5C95-F0B6-AF65-426201C2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84350"/>
          <a:ext cx="641985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showGridLines="0" showRowColHeaders="0" tabSelected="1" showRuler="0" view="pageLayout" topLeftCell="A50" zoomScaleNormal="100" zoomScaleSheetLayoutView="100" workbookViewId="0">
      <selection activeCell="B16" sqref="B16"/>
    </sheetView>
  </sheetViews>
  <sheetFormatPr defaultColWidth="9.109375" defaultRowHeight="14.4" x14ac:dyDescent="0.3"/>
  <cols>
    <col min="1" max="1" width="29.6640625" customWidth="1"/>
    <col min="2" max="2" width="50.109375" bestFit="1" customWidth="1"/>
    <col min="3" max="3" width="14.33203125" bestFit="1" customWidth="1"/>
    <col min="4" max="4" width="10.44140625" bestFit="1" customWidth="1"/>
    <col min="5" max="5" width="60.33203125" bestFit="1" customWidth="1"/>
    <col min="6" max="6" width="53.33203125" bestFit="1" customWidth="1"/>
  </cols>
  <sheetData>
    <row r="1" spans="1:4" ht="21" x14ac:dyDescent="0.4">
      <c r="A1" s="93" t="s">
        <v>34</v>
      </c>
      <c r="B1" s="93"/>
      <c r="C1" s="93"/>
      <c r="D1" s="93"/>
    </row>
    <row r="2" spans="1:4" ht="17.399999999999999" x14ac:dyDescent="0.3">
      <c r="A2" s="94" t="s">
        <v>22</v>
      </c>
      <c r="B2" s="94"/>
      <c r="C2" s="94"/>
      <c r="D2" s="94"/>
    </row>
    <row r="3" spans="1:4" x14ac:dyDescent="0.3">
      <c r="A3" s="2"/>
      <c r="B3" s="2"/>
      <c r="C3" s="2"/>
      <c r="D3" s="2"/>
    </row>
    <row r="4" spans="1:4" x14ac:dyDescent="0.3">
      <c r="A4" s="2" t="s">
        <v>0</v>
      </c>
      <c r="B4" s="2"/>
      <c r="C4" s="2"/>
      <c r="D4" s="2"/>
    </row>
    <row r="5" spans="1:4" ht="27" customHeight="1" x14ac:dyDescent="0.3">
      <c r="A5" s="95" t="s">
        <v>35</v>
      </c>
      <c r="B5" s="95"/>
      <c r="C5" s="95"/>
      <c r="D5" s="95"/>
    </row>
    <row r="6" spans="1:4" ht="15.75" customHeight="1" x14ac:dyDescent="0.3">
      <c r="A6" s="95" t="s">
        <v>36</v>
      </c>
      <c r="B6" s="95"/>
      <c r="C6" s="95"/>
      <c r="D6" s="95"/>
    </row>
    <row r="7" spans="1:4" ht="15.75" customHeight="1" x14ac:dyDescent="0.3">
      <c r="A7" s="96" t="s">
        <v>24</v>
      </c>
      <c r="B7" s="97"/>
      <c r="C7" s="97"/>
      <c r="D7" s="97"/>
    </row>
    <row r="8" spans="1:4" ht="15.75" customHeight="1" x14ac:dyDescent="0.3">
      <c r="A8" s="11"/>
      <c r="B8" s="11"/>
      <c r="C8" s="11"/>
      <c r="D8" s="11"/>
    </row>
    <row r="9" spans="1:4" ht="15.75" customHeight="1" x14ac:dyDescent="0.3">
      <c r="A9" s="11"/>
      <c r="B9" s="11"/>
      <c r="C9" s="11"/>
      <c r="D9" s="11"/>
    </row>
    <row r="10" spans="1:4" ht="15.75" customHeight="1" x14ac:dyDescent="0.3">
      <c r="A10" s="11"/>
      <c r="B10" s="11"/>
      <c r="C10" s="11"/>
      <c r="D10" s="11"/>
    </row>
    <row r="11" spans="1:4" ht="45.75" customHeight="1" x14ac:dyDescent="0.3">
      <c r="A11" s="95" t="s">
        <v>37</v>
      </c>
      <c r="B11" s="95"/>
      <c r="C11" s="95"/>
      <c r="D11" s="95"/>
    </row>
    <row r="12" spans="1:4" ht="30" customHeight="1" x14ac:dyDescent="0.3">
      <c r="A12" s="95" t="s">
        <v>20</v>
      </c>
      <c r="B12" s="95"/>
      <c r="C12" s="95"/>
      <c r="D12" s="95"/>
    </row>
    <row r="13" spans="1:4" ht="9.75" customHeight="1" x14ac:dyDescent="0.3">
      <c r="A13" s="2"/>
      <c r="B13" s="2"/>
      <c r="C13" s="2"/>
      <c r="D13" s="2"/>
    </row>
    <row r="14" spans="1:4" x14ac:dyDescent="0.3">
      <c r="A14" s="2" t="s">
        <v>23</v>
      </c>
      <c r="B14" s="2"/>
      <c r="C14" s="2"/>
      <c r="D14" s="2"/>
    </row>
    <row r="15" spans="1:4" ht="15" thickBot="1" x14ac:dyDescent="0.35">
      <c r="A15" s="2"/>
      <c r="B15" s="9" t="s">
        <v>21</v>
      </c>
      <c r="C15" s="2"/>
      <c r="D15" s="2"/>
    </row>
    <row r="16" spans="1:4" ht="15" thickBot="1" x14ac:dyDescent="0.35">
      <c r="A16" s="2" t="s">
        <v>1</v>
      </c>
      <c r="B16" s="10">
        <v>1000</v>
      </c>
      <c r="C16" s="2"/>
      <c r="D16" s="2"/>
    </row>
    <row r="17" spans="1:4" x14ac:dyDescent="0.3">
      <c r="A17" s="2"/>
      <c r="B17" s="7"/>
      <c r="C17" s="2"/>
      <c r="D17" s="2"/>
    </row>
    <row r="18" spans="1:4" x14ac:dyDescent="0.3">
      <c r="A18" s="2"/>
      <c r="B18" s="3" t="s">
        <v>18</v>
      </c>
      <c r="C18" s="8"/>
      <c r="D18" s="4">
        <f>D89</f>
        <v>142.88</v>
      </c>
    </row>
    <row r="19" spans="1:4" ht="6" customHeight="1" x14ac:dyDescent="0.3">
      <c r="A19" s="2"/>
      <c r="B19" s="5"/>
      <c r="C19" s="2"/>
      <c r="D19" s="2"/>
    </row>
    <row r="20" spans="1:4" ht="15" thickBot="1" x14ac:dyDescent="0.35">
      <c r="A20" s="2"/>
      <c r="B20" s="3" t="s">
        <v>19</v>
      </c>
      <c r="C20" s="8"/>
      <c r="D20" s="6">
        <f>D87/B16</f>
        <v>8.1129999999999994E-2</v>
      </c>
    </row>
    <row r="21" spans="1:4" ht="15" thickBot="1" x14ac:dyDescent="0.35">
      <c r="A21" s="67"/>
      <c r="B21" s="68"/>
      <c r="C21" s="68"/>
      <c r="D21" s="69"/>
    </row>
    <row r="22" spans="1:4" ht="15" thickBot="1" x14ac:dyDescent="0.35">
      <c r="A22" s="63" t="s">
        <v>38</v>
      </c>
      <c r="B22" s="64"/>
      <c r="C22" s="65"/>
      <c r="D22" s="66"/>
    </row>
    <row r="23" spans="1:4" ht="15.6" x14ac:dyDescent="0.3">
      <c r="A23" s="25" t="s">
        <v>9</v>
      </c>
      <c r="B23" s="12"/>
      <c r="C23" s="12"/>
      <c r="D23" s="17">
        <f>ROUND(C24,2)</f>
        <v>9.75</v>
      </c>
    </row>
    <row r="24" spans="1:4" ht="15.6" x14ac:dyDescent="0.3">
      <c r="A24" s="23"/>
      <c r="B24" s="12" t="s">
        <v>2</v>
      </c>
      <c r="C24" s="24">
        <v>9.75</v>
      </c>
      <c r="D24" s="17"/>
    </row>
    <row r="25" spans="1:4" ht="15.6" x14ac:dyDescent="0.3">
      <c r="A25" s="25" t="s">
        <v>11</v>
      </c>
      <c r="B25" s="12"/>
      <c r="C25" s="24"/>
      <c r="D25" s="17"/>
    </row>
    <row r="26" spans="1:4" ht="15.6" x14ac:dyDescent="0.3">
      <c r="A26" s="23" t="s">
        <v>64</v>
      </c>
      <c r="B26" s="12"/>
      <c r="C26" s="70"/>
      <c r="D26" s="17">
        <f>ROUND((D23+D29)*$C$27,2)</f>
        <v>0.75</v>
      </c>
    </row>
    <row r="27" spans="1:4" ht="15.6" x14ac:dyDescent="0.3">
      <c r="A27" s="23"/>
      <c r="B27" s="12" t="s">
        <v>26</v>
      </c>
      <c r="C27" s="71">
        <v>1.9599999999999999E-2</v>
      </c>
      <c r="D27" s="58"/>
    </row>
    <row r="28" spans="1:4" ht="15.6" x14ac:dyDescent="0.3">
      <c r="A28" s="23"/>
      <c r="B28" s="12"/>
      <c r="C28" s="70"/>
      <c r="D28" s="58"/>
    </row>
    <row r="29" spans="1:4" ht="15.6" x14ac:dyDescent="0.3">
      <c r="A29" s="23" t="s">
        <v>45</v>
      </c>
      <c r="B29" s="12"/>
      <c r="C29" s="12"/>
      <c r="D29" s="17">
        <f>ROUND(C30*$B$16,2)</f>
        <v>28.61</v>
      </c>
    </row>
    <row r="30" spans="1:4" ht="15.6" x14ac:dyDescent="0.3">
      <c r="A30" s="23"/>
      <c r="B30" s="12" t="s">
        <v>43</v>
      </c>
      <c r="C30" s="26">
        <v>2.86082E-2</v>
      </c>
      <c r="D30" s="17"/>
    </row>
    <row r="31" spans="1:4" ht="15.6" x14ac:dyDescent="0.3">
      <c r="A31" s="23"/>
      <c r="B31" s="12"/>
      <c r="C31" s="26"/>
      <c r="D31" s="17"/>
    </row>
    <row r="32" spans="1:4" ht="15.6" x14ac:dyDescent="0.3">
      <c r="A32" s="23" t="s">
        <v>42</v>
      </c>
      <c r="B32" s="12"/>
      <c r="C32" s="26"/>
      <c r="D32" s="17">
        <f>ROUND($C$33,2)</f>
        <v>0.1</v>
      </c>
    </row>
    <row r="33" spans="1:4" ht="15.6" x14ac:dyDescent="0.3">
      <c r="A33" s="23"/>
      <c r="B33" s="12" t="s">
        <v>2</v>
      </c>
      <c r="C33" s="24">
        <v>0.1</v>
      </c>
      <c r="D33" s="17"/>
    </row>
    <row r="34" spans="1:4" ht="15.6" x14ac:dyDescent="0.3">
      <c r="A34" s="23"/>
      <c r="B34" s="12"/>
      <c r="C34" s="72"/>
      <c r="D34" s="17"/>
    </row>
    <row r="35" spans="1:4" ht="15.6" x14ac:dyDescent="0.3">
      <c r="A35" s="23" t="s">
        <v>46</v>
      </c>
      <c r="B35" s="12"/>
      <c r="C35" s="72"/>
      <c r="D35" s="17">
        <f>ROUND(C36*$B$16,2)</f>
        <v>1.47</v>
      </c>
    </row>
    <row r="36" spans="1:4" ht="15.6" x14ac:dyDescent="0.3">
      <c r="A36" s="23"/>
      <c r="B36" s="12" t="s">
        <v>3</v>
      </c>
      <c r="C36" s="13">
        <v>1.474E-3</v>
      </c>
      <c r="D36" s="58"/>
    </row>
    <row r="37" spans="1:4" ht="15.6" x14ac:dyDescent="0.3">
      <c r="A37" s="23"/>
      <c r="B37" s="12"/>
      <c r="C37" s="13"/>
      <c r="D37" s="58"/>
    </row>
    <row r="38" spans="1:4" ht="15.6" x14ac:dyDescent="0.3">
      <c r="A38" s="23" t="s">
        <v>47</v>
      </c>
      <c r="B38" s="12"/>
      <c r="C38" s="12"/>
      <c r="D38" s="17">
        <f>ROUND(C39*$B$16,2)</f>
        <v>0</v>
      </c>
    </row>
    <row r="39" spans="1:4" ht="15.6" x14ac:dyDescent="0.3">
      <c r="A39" s="23"/>
      <c r="B39" s="12" t="s">
        <v>3</v>
      </c>
      <c r="C39" s="13">
        <v>0</v>
      </c>
      <c r="D39" s="58"/>
    </row>
    <row r="40" spans="1:4" ht="15.6" x14ac:dyDescent="0.3">
      <c r="A40" s="23"/>
      <c r="B40" s="12"/>
      <c r="C40" s="12"/>
      <c r="D40" s="58"/>
    </row>
    <row r="41" spans="1:4" ht="15.6" x14ac:dyDescent="0.3">
      <c r="A41" s="23" t="s">
        <v>48</v>
      </c>
      <c r="B41" s="12"/>
      <c r="C41" s="12"/>
      <c r="D41" s="17">
        <f>ROUND(C42*$B$16,2)</f>
        <v>0</v>
      </c>
    </row>
    <row r="42" spans="1:4" ht="15.6" x14ac:dyDescent="0.3">
      <c r="A42" s="23"/>
      <c r="B42" s="12" t="s">
        <v>3</v>
      </c>
      <c r="C42" s="13">
        <v>0</v>
      </c>
      <c r="D42" s="17"/>
    </row>
    <row r="43" spans="1:4" ht="15.6" x14ac:dyDescent="0.3">
      <c r="A43" s="23"/>
      <c r="B43" s="12"/>
      <c r="C43" s="26"/>
      <c r="D43" s="17"/>
    </row>
    <row r="44" spans="1:4" ht="15.6" x14ac:dyDescent="0.3">
      <c r="A44" s="23" t="s">
        <v>33</v>
      </c>
      <c r="B44" s="12"/>
      <c r="C44" s="26"/>
      <c r="D44" s="17">
        <f>ROUND(C45,2)</f>
        <v>1.1599999999999999</v>
      </c>
    </row>
    <row r="45" spans="1:4" ht="15.6" x14ac:dyDescent="0.3">
      <c r="A45" s="23"/>
      <c r="B45" s="12" t="s">
        <v>2</v>
      </c>
      <c r="C45" s="24">
        <v>1.1599999999999999</v>
      </c>
      <c r="D45" s="58"/>
    </row>
    <row r="46" spans="1:4" ht="15.6" x14ac:dyDescent="0.3">
      <c r="A46" s="23"/>
      <c r="B46" s="12"/>
      <c r="C46" s="26"/>
      <c r="D46" s="58"/>
    </row>
    <row r="47" spans="1:4" ht="15.6" x14ac:dyDescent="0.3">
      <c r="A47" s="23" t="s">
        <v>49</v>
      </c>
      <c r="B47" s="12"/>
      <c r="C47" s="12"/>
      <c r="D47" s="17">
        <f>IF($B$16&lt;2001,ROUND($B$16*C48,2),IF($B$16&gt;15000,ROUND(2000*C48,2)+ROUND(13000*C49,2)+ROUND(($B$16-15000)*C50,2),ROUND(2000*C48,2)+ROUND(($B$16-2000)*C49,2)))</f>
        <v>4.6500000000000004</v>
      </c>
    </row>
    <row r="48" spans="1:4" ht="15.6" x14ac:dyDescent="0.3">
      <c r="A48" s="23"/>
      <c r="B48" s="12" t="s">
        <v>4</v>
      </c>
      <c r="C48" s="13">
        <v>4.6499999999999996E-3</v>
      </c>
      <c r="D48" s="58"/>
    </row>
    <row r="49" spans="1:7" ht="15.6" x14ac:dyDescent="0.3">
      <c r="A49" s="23"/>
      <c r="B49" s="12" t="s">
        <v>5</v>
      </c>
      <c r="C49" s="13">
        <v>4.1900000000000001E-3</v>
      </c>
      <c r="D49" s="58"/>
    </row>
    <row r="50" spans="1:7" ht="15.6" x14ac:dyDescent="0.3">
      <c r="A50" s="23"/>
      <c r="B50" s="12" t="s">
        <v>6</v>
      </c>
      <c r="C50" s="13">
        <v>3.63E-3</v>
      </c>
      <c r="D50" s="58"/>
    </row>
    <row r="51" spans="1:7" ht="15.6" x14ac:dyDescent="0.3">
      <c r="A51" s="23"/>
      <c r="B51" s="27"/>
      <c r="C51" s="13"/>
      <c r="D51" s="58"/>
      <c r="E51" s="1"/>
      <c r="G51" s="1"/>
    </row>
    <row r="52" spans="1:7" ht="15.6" x14ac:dyDescent="0.3">
      <c r="A52" s="23" t="s">
        <v>50</v>
      </c>
      <c r="B52" s="12"/>
      <c r="C52" s="13"/>
      <c r="D52" s="57">
        <f>ROUND(C53*(D23+D29),2)</f>
        <v>3.19</v>
      </c>
      <c r="E52" s="1"/>
      <c r="G52" s="1"/>
    </row>
    <row r="53" spans="1:7" ht="15.6" x14ac:dyDescent="0.3">
      <c r="A53" s="23"/>
      <c r="B53" s="73" t="s">
        <v>26</v>
      </c>
      <c r="C53" s="19">
        <v>8.3150000000000002E-2</v>
      </c>
      <c r="D53" s="58"/>
      <c r="E53" s="1"/>
      <c r="G53" s="1"/>
    </row>
    <row r="54" spans="1:7" ht="15.6" x14ac:dyDescent="0.3">
      <c r="A54" s="23"/>
      <c r="B54" s="73"/>
      <c r="C54" s="19"/>
      <c r="D54" s="58"/>
      <c r="E54" s="1"/>
      <c r="G54" s="1"/>
    </row>
    <row r="55" spans="1:7" ht="15.6" x14ac:dyDescent="0.3">
      <c r="A55" s="59" t="s">
        <v>53</v>
      </c>
      <c r="B55" s="73"/>
      <c r="C55" s="60"/>
      <c r="D55" s="17">
        <f>C56*B16</f>
        <v>0</v>
      </c>
      <c r="E55" s="1"/>
      <c r="G55" s="1"/>
    </row>
    <row r="56" spans="1:7" ht="15.6" x14ac:dyDescent="0.3">
      <c r="A56" s="59"/>
      <c r="B56" s="12" t="s">
        <v>3</v>
      </c>
      <c r="C56" s="61">
        <v>0</v>
      </c>
      <c r="D56" s="58"/>
      <c r="E56" s="1"/>
      <c r="G56" s="1"/>
    </row>
    <row r="57" spans="1:7" ht="15.6" x14ac:dyDescent="0.3">
      <c r="A57" s="23"/>
      <c r="B57" s="73"/>
      <c r="C57" s="19"/>
      <c r="D57" s="58"/>
      <c r="E57" s="1"/>
      <c r="G57" s="1"/>
    </row>
    <row r="58" spans="1:7" ht="15.6" x14ac:dyDescent="0.3">
      <c r="A58" s="59" t="s">
        <v>52</v>
      </c>
      <c r="B58" s="12"/>
      <c r="C58" s="13"/>
      <c r="D58" s="58">
        <f>C59</f>
        <v>0.32</v>
      </c>
      <c r="E58" s="1"/>
      <c r="G58" s="1"/>
    </row>
    <row r="59" spans="1:7" ht="15.6" x14ac:dyDescent="0.3">
      <c r="A59" s="59"/>
      <c r="B59" s="12" t="s">
        <v>2</v>
      </c>
      <c r="C59" s="61">
        <v>0.32</v>
      </c>
      <c r="D59" s="58"/>
      <c r="E59" s="1"/>
      <c r="G59" s="1"/>
    </row>
    <row r="60" spans="1:7" ht="15.6" x14ac:dyDescent="0.3">
      <c r="A60" s="59"/>
      <c r="B60" s="12"/>
      <c r="C60" s="61"/>
      <c r="D60" s="58"/>
      <c r="E60" s="1"/>
      <c r="G60" s="1"/>
    </row>
    <row r="61" spans="1:7" ht="15.6" x14ac:dyDescent="0.3">
      <c r="A61" s="59" t="s">
        <v>54</v>
      </c>
      <c r="B61" s="12"/>
      <c r="C61" s="61"/>
      <c r="D61" s="58">
        <f>ROUND((D23+D29)*C62,2)</f>
        <v>4.0599999999999996</v>
      </c>
      <c r="E61" s="1"/>
      <c r="G61" s="1"/>
    </row>
    <row r="62" spans="1:7" ht="15.6" x14ac:dyDescent="0.3">
      <c r="A62" s="59"/>
      <c r="B62" s="73" t="s">
        <v>26</v>
      </c>
      <c r="C62" s="62">
        <v>0.105778</v>
      </c>
      <c r="D62" s="58"/>
      <c r="E62" s="1"/>
      <c r="G62" s="1"/>
    </row>
    <row r="63" spans="1:7" ht="15.6" x14ac:dyDescent="0.3">
      <c r="A63" s="59"/>
      <c r="B63" s="73"/>
      <c r="C63" s="62"/>
      <c r="D63" s="58"/>
      <c r="E63" s="1"/>
      <c r="G63" s="1"/>
    </row>
    <row r="64" spans="1:7" ht="15.6" x14ac:dyDescent="0.3">
      <c r="A64" s="23" t="s">
        <v>65</v>
      </c>
      <c r="B64" s="73"/>
      <c r="C64" s="62"/>
      <c r="D64" s="58"/>
    </row>
    <row r="65" spans="1:5" ht="15.6" x14ac:dyDescent="0.3">
      <c r="A65" s="23"/>
      <c r="B65" s="73"/>
      <c r="C65" s="62"/>
      <c r="D65" s="58"/>
    </row>
    <row r="66" spans="1:5" ht="15.6" x14ac:dyDescent="0.3">
      <c r="A66" s="23"/>
      <c r="B66" s="73"/>
      <c r="C66" s="62"/>
      <c r="D66" s="58"/>
    </row>
    <row r="67" spans="1:5" ht="15.6" x14ac:dyDescent="0.3">
      <c r="A67" s="23"/>
      <c r="B67" s="12"/>
      <c r="C67" s="13"/>
      <c r="D67" s="58"/>
    </row>
    <row r="68" spans="1:5" ht="15.6" x14ac:dyDescent="0.3">
      <c r="A68" s="23" t="s">
        <v>62</v>
      </c>
      <c r="B68" s="12"/>
      <c r="C68" s="13"/>
      <c r="D68" s="74">
        <f>ROUND(C69,2)</f>
        <v>1.82</v>
      </c>
    </row>
    <row r="69" spans="1:5" ht="15.6" x14ac:dyDescent="0.3">
      <c r="A69" s="23"/>
      <c r="B69" s="73" t="s">
        <v>2</v>
      </c>
      <c r="C69" s="75">
        <v>1.82</v>
      </c>
      <c r="D69" s="58"/>
    </row>
    <row r="70" spans="1:5" ht="15.6" x14ac:dyDescent="0.3">
      <c r="A70" s="23"/>
      <c r="B70" s="12"/>
      <c r="C70" s="13"/>
      <c r="D70" s="58"/>
    </row>
    <row r="71" spans="1:5" ht="15.6" x14ac:dyDescent="0.3">
      <c r="A71" s="23" t="s">
        <v>63</v>
      </c>
      <c r="B71" s="12"/>
      <c r="C71" s="12"/>
      <c r="D71" s="74">
        <f>ROUND(C72*$B$16,2)</f>
        <v>6.61</v>
      </c>
    </row>
    <row r="72" spans="1:5" ht="15.6" x14ac:dyDescent="0.3">
      <c r="A72" s="23"/>
      <c r="B72" s="12" t="s">
        <v>3</v>
      </c>
      <c r="C72" s="13">
        <v>6.6108E-3</v>
      </c>
      <c r="D72" s="58"/>
    </row>
    <row r="73" spans="1:5" ht="15.6" x14ac:dyDescent="0.3">
      <c r="A73" s="23"/>
      <c r="B73" s="12"/>
      <c r="C73" s="13"/>
      <c r="D73" s="58"/>
    </row>
    <row r="74" spans="1:5" ht="15.6" x14ac:dyDescent="0.3">
      <c r="A74" s="23" t="s">
        <v>56</v>
      </c>
      <c r="B74" s="12"/>
      <c r="C74" s="13"/>
      <c r="D74" s="17">
        <f>ROUND((D23+D29)*C75,2)</f>
        <v>-0.74</v>
      </c>
      <c r="E74" s="18"/>
    </row>
    <row r="75" spans="1:5" ht="15.6" x14ac:dyDescent="0.3">
      <c r="A75" s="23"/>
      <c r="B75" s="12" t="s">
        <v>26</v>
      </c>
      <c r="C75" s="19">
        <v>-1.9311999999999999E-2</v>
      </c>
      <c r="D75" s="58"/>
      <c r="E75" s="18"/>
    </row>
    <row r="76" spans="1:5" ht="15.6" x14ac:dyDescent="0.3">
      <c r="A76" s="23"/>
      <c r="B76" s="73"/>
      <c r="C76" s="13"/>
      <c r="D76" s="58"/>
      <c r="E76" s="18"/>
    </row>
    <row r="77" spans="1:5" ht="15.6" x14ac:dyDescent="0.3">
      <c r="A77" s="76" t="s">
        <v>12</v>
      </c>
      <c r="B77" s="77"/>
      <c r="C77" s="13"/>
      <c r="D77" s="17">
        <f>SUM(D26:D74)</f>
        <v>51.999999999999993</v>
      </c>
    </row>
    <row r="78" spans="1:5" ht="15.6" x14ac:dyDescent="0.3">
      <c r="A78" s="59"/>
      <c r="B78" s="12"/>
      <c r="C78" s="13"/>
      <c r="D78" s="58"/>
    </row>
    <row r="79" spans="1:5" ht="16.2" thickBot="1" x14ac:dyDescent="0.35">
      <c r="A79" s="78" t="s">
        <v>51</v>
      </c>
      <c r="B79" s="79"/>
      <c r="C79" s="80"/>
      <c r="D79" s="81">
        <f>D77+D23</f>
        <v>61.749999999999993</v>
      </c>
      <c r="E79" s="1"/>
    </row>
    <row r="80" spans="1:5" ht="15.6" x14ac:dyDescent="0.3">
      <c r="A80" s="27"/>
      <c r="B80" s="12"/>
      <c r="C80" s="12"/>
      <c r="D80" s="30"/>
      <c r="E80" s="1"/>
    </row>
    <row r="81" spans="1:8" ht="15.6" x14ac:dyDescent="0.3">
      <c r="A81" s="27"/>
      <c r="B81" s="27"/>
      <c r="C81" s="12"/>
      <c r="D81" s="31"/>
      <c r="E81" s="1"/>
      <c r="H81" s="1"/>
    </row>
    <row r="82" spans="1:8" ht="16.2" thickBot="1" x14ac:dyDescent="0.35">
      <c r="A82" s="32" t="s">
        <v>13</v>
      </c>
      <c r="B82" s="32"/>
      <c r="C82" s="33"/>
      <c r="D82" s="34"/>
      <c r="E82" s="1"/>
    </row>
    <row r="83" spans="1:8" ht="16.2" thickTop="1" x14ac:dyDescent="0.3">
      <c r="A83" s="35" t="s">
        <v>25</v>
      </c>
      <c r="B83" s="36"/>
      <c r="C83" s="36"/>
      <c r="D83" s="15">
        <f>IF($B$16&lt;751,ROUND($B$16*C84,2),ROUND(750*C84,2)+ROUND(($B$16-750)*C85,2))</f>
        <v>81.13</v>
      </c>
      <c r="E83" s="1"/>
    </row>
    <row r="84" spans="1:8" ht="15.6" x14ac:dyDescent="0.3">
      <c r="A84" s="37"/>
      <c r="B84" s="12" t="s">
        <v>7</v>
      </c>
      <c r="C84" s="13">
        <v>8.1127699999999997E-2</v>
      </c>
      <c r="D84" s="38"/>
    </row>
    <row r="85" spans="1:8" ht="15.6" x14ac:dyDescent="0.3">
      <c r="A85" s="37"/>
      <c r="B85" s="12" t="s">
        <v>8</v>
      </c>
      <c r="C85" s="13">
        <v>8.1127699999999997E-2</v>
      </c>
      <c r="D85" s="38"/>
    </row>
    <row r="86" spans="1:8" ht="15.6" x14ac:dyDescent="0.3">
      <c r="A86" s="39"/>
      <c r="B86" s="27"/>
      <c r="C86" s="12"/>
      <c r="D86" s="38"/>
    </row>
    <row r="87" spans="1:8" ht="16.2" thickBot="1" x14ac:dyDescent="0.35">
      <c r="A87" s="40" t="s">
        <v>14</v>
      </c>
      <c r="B87" s="41"/>
      <c r="C87" s="42"/>
      <c r="D87" s="43">
        <f>SUM(D83)</f>
        <v>81.13</v>
      </c>
    </row>
    <row r="88" spans="1:8" ht="16.2" thickTop="1" x14ac:dyDescent="0.3">
      <c r="A88" s="44"/>
      <c r="B88" s="27"/>
      <c r="C88" s="12"/>
      <c r="D88" s="20"/>
    </row>
    <row r="89" spans="1:8" ht="16.2" thickBot="1" x14ac:dyDescent="0.35">
      <c r="A89" s="28" t="s">
        <v>15</v>
      </c>
      <c r="B89" s="92"/>
      <c r="C89" s="92"/>
      <c r="D89" s="29">
        <f>D87+D79</f>
        <v>142.88</v>
      </c>
    </row>
    <row r="90" spans="1:8" ht="16.8" thickTop="1" thickBot="1" x14ac:dyDescent="0.35">
      <c r="A90" s="12"/>
      <c r="B90" s="12"/>
      <c r="C90" s="12"/>
      <c r="D90" s="12"/>
    </row>
    <row r="91" spans="1:8" ht="16.2" thickTop="1" x14ac:dyDescent="0.3">
      <c r="A91" s="27"/>
      <c r="B91" s="89" t="s">
        <v>39</v>
      </c>
      <c r="C91" s="90"/>
      <c r="D91" s="91"/>
    </row>
    <row r="92" spans="1:8" ht="15.6" x14ac:dyDescent="0.3">
      <c r="A92" s="12"/>
      <c r="B92" s="45"/>
      <c r="C92" s="12"/>
      <c r="D92" s="46"/>
    </row>
    <row r="93" spans="1:8" ht="15.6" x14ac:dyDescent="0.3">
      <c r="A93" s="12"/>
      <c r="B93" s="47" t="s">
        <v>38</v>
      </c>
      <c r="C93" s="48"/>
      <c r="D93" s="46"/>
    </row>
    <row r="94" spans="1:8" ht="15.6" x14ac:dyDescent="0.3">
      <c r="A94" s="12"/>
      <c r="B94" s="49" t="s">
        <v>10</v>
      </c>
      <c r="C94" s="12"/>
      <c r="D94" s="50">
        <f>D23</f>
        <v>9.75</v>
      </c>
    </row>
    <row r="95" spans="1:8" ht="15.6" x14ac:dyDescent="0.3">
      <c r="A95" s="12"/>
      <c r="B95" s="49" t="s">
        <v>16</v>
      </c>
      <c r="C95" s="12"/>
      <c r="D95" s="50">
        <f>D77</f>
        <v>51.999999999999993</v>
      </c>
    </row>
    <row r="96" spans="1:8" ht="15.6" x14ac:dyDescent="0.3">
      <c r="A96" s="12"/>
      <c r="B96" s="51" t="s">
        <v>40</v>
      </c>
      <c r="C96" s="27"/>
      <c r="D96" s="52">
        <f>D79</f>
        <v>61.749999999999993</v>
      </c>
    </row>
    <row r="97" spans="1:8" ht="15.6" x14ac:dyDescent="0.3">
      <c r="A97" s="12"/>
      <c r="B97" s="49"/>
      <c r="C97" s="12"/>
      <c r="D97" s="50"/>
    </row>
    <row r="98" spans="1:8" ht="15.6" x14ac:dyDescent="0.3">
      <c r="A98" s="12"/>
      <c r="B98" s="53" t="s">
        <v>13</v>
      </c>
      <c r="C98" s="12"/>
      <c r="D98" s="52"/>
    </row>
    <row r="99" spans="1:8" ht="16.2" thickBot="1" x14ac:dyDescent="0.35">
      <c r="A99" s="27"/>
      <c r="B99" s="54" t="s">
        <v>17</v>
      </c>
      <c r="C99" s="55"/>
      <c r="D99" s="56">
        <f>D87</f>
        <v>81.13</v>
      </c>
    </row>
    <row r="100" spans="1:8" ht="15" thickTop="1" x14ac:dyDescent="0.3">
      <c r="A100" s="2"/>
      <c r="B100" s="2"/>
      <c r="C100" s="2"/>
      <c r="D100" s="2"/>
    </row>
    <row r="101" spans="1:8" x14ac:dyDescent="0.3">
      <c r="H101" s="1"/>
    </row>
    <row r="103" spans="1:8" x14ac:dyDescent="0.3">
      <c r="A103" s="1"/>
      <c r="D103" s="1"/>
    </row>
    <row r="106" spans="1:8" x14ac:dyDescent="0.3">
      <c r="A106" s="1"/>
    </row>
    <row r="107" spans="1:8" x14ac:dyDescent="0.3">
      <c r="A107" s="1"/>
    </row>
    <row r="110" spans="1:8" x14ac:dyDescent="0.3">
      <c r="A110" s="1"/>
      <c r="B110" s="1"/>
    </row>
  </sheetData>
  <sheetProtection algorithmName="SHA-512" hashValue="9yMZF5Y4rExeRIw8owM2AinQLJT8nqIFG/uTF3SiB8SsXzsL+mMZ3HwJtc+mp/OUxzM/W3ul+4dTv80nnWF81w==" saltValue="00uXcHqkMjjnhU6MbIOADA==" spinCount="100000" sheet="1" selectLockedCells="1"/>
  <mergeCells count="9">
    <mergeCell ref="B91:D91"/>
    <mergeCell ref="B89:C89"/>
    <mergeCell ref="A1:D1"/>
    <mergeCell ref="A2:D2"/>
    <mergeCell ref="A5:D5"/>
    <mergeCell ref="A6:D6"/>
    <mergeCell ref="A11:D11"/>
    <mergeCell ref="A12:D12"/>
    <mergeCell ref="A7:D7"/>
  </mergeCells>
  <conditionalFormatting sqref="C1:D6 C92:D65542">
    <cfRule type="cellIs" dxfId="5" priority="20" operator="lessThan">
      <formula>0</formula>
    </cfRule>
  </conditionalFormatting>
  <conditionalFormatting sqref="C8:D90">
    <cfRule type="cellIs" dxfId="4" priority="1" operator="lessThan">
      <formula>0</formula>
    </cfRule>
  </conditionalFormatting>
  <dataValidations count="1">
    <dataValidation type="decimal" errorStyle="information" allowBlank="1" showInputMessage="1" showErrorMessage="1" errorTitle="Invalid Entry" error="This cell must contain a positive number." sqref="B16" xr:uid="{00000000-0002-0000-0000-000000000000}">
      <formula1>0</formula1>
      <formula2>100000000</formula2>
    </dataValidation>
  </dataValidations>
  <printOptions horizontalCentered="1"/>
  <pageMargins left="0.7" right="0.7" top="0.75" bottom="0.75" header="0.3" footer="0.3"/>
  <pageSetup scale="82" fitToHeight="2" orientation="portrait" r:id="rId1"/>
  <headerFooter>
    <oddHeader xml:space="preserve">&amp;L&amp;G&amp;R&amp;"Arial,Regular"&amp;12Effective April 1, 2024
</oddHeader>
    <oddFooter xml:space="preserve">&amp;L&amp;"Arial,Regular"Worksheet valid for calculating bills starting on April 1, 2024.  Summer months include June, July, August, September and October.   </oddFooter>
  </headerFooter>
  <rowBreaks count="1" manualBreakCount="1">
    <brk id="49" max="4" man="1"/>
  </rowBreaks>
  <customProperties>
    <customPr name="EpmWorksheetKeyString_GUID" r:id="rId2"/>
  </customPropertie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showGridLines="0" showRowColHeaders="0" showRuler="0" view="pageLayout" topLeftCell="A48" zoomScale="90" zoomScaleNormal="100" zoomScaleSheetLayoutView="100" zoomScalePageLayoutView="90" workbookViewId="0">
      <selection activeCell="B17" sqref="B17"/>
    </sheetView>
  </sheetViews>
  <sheetFormatPr defaultColWidth="9.109375" defaultRowHeight="14.4" x14ac:dyDescent="0.3"/>
  <cols>
    <col min="1" max="1" width="29.6640625" customWidth="1"/>
    <col min="2" max="2" width="50.109375" bestFit="1" customWidth="1"/>
    <col min="3" max="3" width="14.109375" bestFit="1" customWidth="1"/>
    <col min="4" max="4" width="11.6640625" bestFit="1" customWidth="1"/>
    <col min="5" max="5" width="60.33203125" bestFit="1" customWidth="1"/>
    <col min="6" max="6" width="53.33203125" bestFit="1" customWidth="1"/>
  </cols>
  <sheetData>
    <row r="1" spans="1:4" ht="21" x14ac:dyDescent="0.4">
      <c r="A1" s="93" t="s">
        <v>34</v>
      </c>
      <c r="B1" s="93"/>
      <c r="C1" s="93"/>
      <c r="D1" s="93"/>
    </row>
    <row r="2" spans="1:4" ht="17.399999999999999" x14ac:dyDescent="0.3">
      <c r="A2" s="94" t="s">
        <v>28</v>
      </c>
      <c r="B2" s="94"/>
      <c r="C2" s="94"/>
      <c r="D2" s="94"/>
    </row>
    <row r="3" spans="1:4" x14ac:dyDescent="0.3">
      <c r="A3" s="2"/>
      <c r="B3" s="2"/>
      <c r="C3" s="2"/>
      <c r="D3" s="2"/>
    </row>
    <row r="4" spans="1:4" x14ac:dyDescent="0.3">
      <c r="A4" s="2" t="s">
        <v>0</v>
      </c>
      <c r="B4" s="2"/>
      <c r="C4" s="2"/>
      <c r="D4" s="2"/>
    </row>
    <row r="5" spans="1:4" ht="27" customHeight="1" x14ac:dyDescent="0.3">
      <c r="A5" s="95" t="s">
        <v>35</v>
      </c>
      <c r="B5" s="95"/>
      <c r="C5" s="95"/>
      <c r="D5" s="95"/>
    </row>
    <row r="6" spans="1:4" ht="15.75" customHeight="1" x14ac:dyDescent="0.3">
      <c r="A6" s="95" t="s">
        <v>36</v>
      </c>
      <c r="B6" s="95"/>
      <c r="C6" s="95"/>
      <c r="D6" s="95"/>
    </row>
    <row r="7" spans="1:4" ht="15.75" customHeight="1" x14ac:dyDescent="0.3">
      <c r="A7" s="98" t="s">
        <v>32</v>
      </c>
      <c r="B7" s="98"/>
      <c r="C7" s="98"/>
      <c r="D7" s="98"/>
    </row>
    <row r="8" spans="1:4" ht="15.75" customHeight="1" x14ac:dyDescent="0.3">
      <c r="A8" s="96" t="s">
        <v>24</v>
      </c>
      <c r="B8" s="96"/>
      <c r="C8" s="96"/>
      <c r="D8" s="96"/>
    </row>
    <row r="9" spans="1:4" ht="15.75" customHeight="1" x14ac:dyDescent="0.3">
      <c r="A9" s="11"/>
      <c r="B9" s="11"/>
      <c r="C9" s="11"/>
      <c r="D9" s="11"/>
    </row>
    <row r="10" spans="1:4" ht="15.75" customHeight="1" x14ac:dyDescent="0.3">
      <c r="A10" s="11"/>
      <c r="B10" s="11"/>
      <c r="C10" s="11"/>
      <c r="D10" s="11"/>
    </row>
    <row r="11" spans="1:4" ht="15.75" customHeight="1" x14ac:dyDescent="0.3">
      <c r="A11" s="11"/>
      <c r="B11" s="11"/>
      <c r="C11" s="11"/>
      <c r="D11" s="11"/>
    </row>
    <row r="12" spans="1:4" ht="45.75" customHeight="1" x14ac:dyDescent="0.3">
      <c r="A12" s="95" t="s">
        <v>41</v>
      </c>
      <c r="B12" s="95"/>
      <c r="C12" s="95"/>
      <c r="D12" s="95"/>
    </row>
    <row r="13" spans="1:4" ht="30" customHeight="1" x14ac:dyDescent="0.3">
      <c r="A13" s="95" t="s">
        <v>20</v>
      </c>
      <c r="B13" s="95"/>
      <c r="C13" s="95"/>
      <c r="D13" s="95"/>
    </row>
    <row r="14" spans="1:4" ht="9.75" customHeight="1" x14ac:dyDescent="0.3">
      <c r="A14" s="2"/>
      <c r="B14" s="2"/>
      <c r="C14" s="2"/>
      <c r="D14" s="2"/>
    </row>
    <row r="15" spans="1:4" x14ac:dyDescent="0.3">
      <c r="A15" s="2" t="s">
        <v>23</v>
      </c>
      <c r="B15" s="2"/>
      <c r="C15" s="2"/>
      <c r="D15" s="2"/>
    </row>
    <row r="16" spans="1:4" ht="15" thickBot="1" x14ac:dyDescent="0.35">
      <c r="A16" s="2"/>
      <c r="B16" s="9" t="s">
        <v>21</v>
      </c>
      <c r="C16" s="2"/>
      <c r="D16" s="2"/>
    </row>
    <row r="17" spans="1:4" ht="16.2" thickBot="1" x14ac:dyDescent="0.35">
      <c r="A17" s="12" t="s">
        <v>29</v>
      </c>
      <c r="B17" s="10">
        <v>1000</v>
      </c>
      <c r="C17" s="2"/>
      <c r="D17" s="2"/>
    </row>
    <row r="18" spans="1:4" ht="16.2" thickBot="1" x14ac:dyDescent="0.35">
      <c r="A18" s="12" t="s">
        <v>30</v>
      </c>
      <c r="B18" s="14"/>
      <c r="C18" s="2"/>
      <c r="D18" s="2"/>
    </row>
    <row r="19" spans="1:4" ht="16.2" thickBot="1" x14ac:dyDescent="0.35">
      <c r="A19" s="12" t="s">
        <v>31</v>
      </c>
      <c r="B19" s="16">
        <f>B17-B18</f>
        <v>1000</v>
      </c>
      <c r="C19" s="2"/>
      <c r="D19" s="2"/>
    </row>
    <row r="20" spans="1:4" x14ac:dyDescent="0.3">
      <c r="A20" s="2"/>
      <c r="B20" s="7"/>
      <c r="C20" s="2"/>
      <c r="D20" s="2"/>
    </row>
    <row r="21" spans="1:4" x14ac:dyDescent="0.3">
      <c r="A21" s="2"/>
      <c r="B21" s="3" t="s">
        <v>18</v>
      </c>
      <c r="C21" s="8"/>
      <c r="D21" s="4">
        <f>D90</f>
        <v>142.88</v>
      </c>
    </row>
    <row r="22" spans="1:4" ht="6" customHeight="1" x14ac:dyDescent="0.3">
      <c r="A22" s="2"/>
      <c r="B22" s="5"/>
      <c r="C22" s="2"/>
      <c r="D22" s="2"/>
    </row>
    <row r="23" spans="1:4" x14ac:dyDescent="0.3">
      <c r="A23" s="2"/>
      <c r="B23" s="3" t="s">
        <v>19</v>
      </c>
      <c r="C23" s="8"/>
      <c r="D23" s="6">
        <f>IF($B$19&lt;0,-(D88/B19),D88/B19)</f>
        <v>8.1129999999999994E-2</v>
      </c>
    </row>
    <row r="24" spans="1:4" ht="15" thickBot="1" x14ac:dyDescent="0.35">
      <c r="A24" s="2"/>
      <c r="B24" s="2"/>
      <c r="C24" s="2"/>
      <c r="D24" s="2"/>
    </row>
    <row r="25" spans="1:4" ht="16.2" thickBot="1" x14ac:dyDescent="0.35">
      <c r="A25" s="84" t="s">
        <v>38</v>
      </c>
      <c r="B25" s="85"/>
      <c r="C25" s="86"/>
      <c r="D25" s="87"/>
    </row>
    <row r="26" spans="1:4" ht="15.6" x14ac:dyDescent="0.3">
      <c r="A26" s="21" t="s">
        <v>9</v>
      </c>
      <c r="B26" s="22"/>
      <c r="C26" s="22"/>
      <c r="D26" s="82">
        <f>ROUND(C27,2)</f>
        <v>9.75</v>
      </c>
    </row>
    <row r="27" spans="1:4" ht="15.6" x14ac:dyDescent="0.3">
      <c r="A27" s="23"/>
      <c r="B27" s="12" t="s">
        <v>2</v>
      </c>
      <c r="C27" s="24">
        <v>9.75</v>
      </c>
      <c r="D27" s="17"/>
    </row>
    <row r="28" spans="1:4" ht="15.6" x14ac:dyDescent="0.3">
      <c r="A28" s="25" t="s">
        <v>11</v>
      </c>
      <c r="B28" s="12"/>
      <c r="C28" s="24"/>
      <c r="D28" s="17"/>
    </row>
    <row r="29" spans="1:4" ht="15.6" x14ac:dyDescent="0.3">
      <c r="A29" s="23" t="s">
        <v>44</v>
      </c>
      <c r="B29" s="12"/>
      <c r="C29" s="70"/>
      <c r="D29" s="17">
        <f>ROUND((D26+D32)*$C$30,2)</f>
        <v>0.75</v>
      </c>
    </row>
    <row r="30" spans="1:4" ht="15.6" x14ac:dyDescent="0.3">
      <c r="A30" s="23"/>
      <c r="B30" s="12" t="s">
        <v>26</v>
      </c>
      <c r="C30" s="71">
        <v>1.9599999999999999E-2</v>
      </c>
      <c r="D30" s="58"/>
    </row>
    <row r="31" spans="1:4" ht="15.6" x14ac:dyDescent="0.3">
      <c r="A31" s="23"/>
      <c r="B31" s="12"/>
      <c r="C31" s="70"/>
      <c r="D31" s="58"/>
    </row>
    <row r="32" spans="1:4" ht="15.6" x14ac:dyDescent="0.3">
      <c r="A32" s="23" t="s">
        <v>45</v>
      </c>
      <c r="B32" s="12"/>
      <c r="C32" s="12"/>
      <c r="D32" s="17">
        <f>IF($B$19&lt;0,0,ROUND(C33*$B$19,2))</f>
        <v>28.61</v>
      </c>
    </row>
    <row r="33" spans="1:4" ht="15.6" x14ac:dyDescent="0.3">
      <c r="A33" s="23"/>
      <c r="B33" s="12" t="s">
        <v>43</v>
      </c>
      <c r="C33" s="26">
        <v>2.86082E-2</v>
      </c>
      <c r="D33" s="17"/>
    </row>
    <row r="34" spans="1:4" ht="15.6" x14ac:dyDescent="0.3">
      <c r="A34" s="59"/>
      <c r="B34" s="12"/>
      <c r="C34" s="26"/>
      <c r="D34" s="17"/>
    </row>
    <row r="35" spans="1:4" ht="15.6" x14ac:dyDescent="0.3">
      <c r="A35" s="59" t="s">
        <v>58</v>
      </c>
      <c r="B35" s="12"/>
      <c r="C35" s="26"/>
      <c r="D35" s="17">
        <f>ROUND($C$36,2)</f>
        <v>0.1</v>
      </c>
    </row>
    <row r="36" spans="1:4" ht="15.6" x14ac:dyDescent="0.3">
      <c r="A36" s="59"/>
      <c r="B36" s="12" t="s">
        <v>2</v>
      </c>
      <c r="C36" s="24">
        <f>'241 S'!C33</f>
        <v>0.1</v>
      </c>
      <c r="D36" s="17"/>
    </row>
    <row r="37" spans="1:4" ht="15.6" x14ac:dyDescent="0.3">
      <c r="A37" s="59"/>
      <c r="B37" s="12"/>
      <c r="C37" s="72"/>
      <c r="D37" s="17"/>
    </row>
    <row r="38" spans="1:4" ht="15.6" x14ac:dyDescent="0.3">
      <c r="A38" s="59" t="s">
        <v>57</v>
      </c>
      <c r="B38" s="12"/>
      <c r="C38" s="72"/>
      <c r="D38" s="17">
        <f>IF($B$19&lt;0,0,ROUND(C39*$B$19,2))</f>
        <v>1.47</v>
      </c>
    </row>
    <row r="39" spans="1:4" ht="15.6" x14ac:dyDescent="0.3">
      <c r="A39" s="59"/>
      <c r="B39" s="12" t="s">
        <v>3</v>
      </c>
      <c r="C39" s="13">
        <f>'241 S'!C36</f>
        <v>1.474E-3</v>
      </c>
      <c r="D39" s="58"/>
    </row>
    <row r="40" spans="1:4" ht="15.6" x14ac:dyDescent="0.3">
      <c r="A40" s="59"/>
      <c r="B40" s="12"/>
      <c r="C40" s="13"/>
      <c r="D40" s="58"/>
    </row>
    <row r="41" spans="1:4" ht="15.6" x14ac:dyDescent="0.3">
      <c r="A41" s="59" t="s">
        <v>47</v>
      </c>
      <c r="B41" s="12"/>
      <c r="C41" s="12"/>
      <c r="D41" s="17">
        <f>IF($B$19&lt;0,0,ROUND(C42*$B$19,2))</f>
        <v>0</v>
      </c>
    </row>
    <row r="42" spans="1:4" ht="15.6" x14ac:dyDescent="0.3">
      <c r="A42" s="59"/>
      <c r="B42" s="12" t="s">
        <v>3</v>
      </c>
      <c r="C42" s="13">
        <f>'241 S'!C39</f>
        <v>0</v>
      </c>
      <c r="D42" s="58"/>
    </row>
    <row r="43" spans="1:4" ht="15.6" x14ac:dyDescent="0.3">
      <c r="A43" s="59"/>
      <c r="B43" s="12"/>
      <c r="C43" s="12"/>
      <c r="D43" s="58"/>
    </row>
    <row r="44" spans="1:4" ht="15.6" x14ac:dyDescent="0.3">
      <c r="A44" s="59" t="s">
        <v>48</v>
      </c>
      <c r="B44" s="12"/>
      <c r="C44" s="12"/>
      <c r="D44" s="17">
        <f>IF($B$19&lt;0,0,ROUND(C45*$B$19,2))</f>
        <v>0</v>
      </c>
    </row>
    <row r="45" spans="1:4" ht="15.6" x14ac:dyDescent="0.3">
      <c r="A45" s="59"/>
      <c r="B45" s="12" t="s">
        <v>3</v>
      </c>
      <c r="C45" s="13">
        <f>'241 S'!C42</f>
        <v>0</v>
      </c>
      <c r="D45" s="17"/>
    </row>
    <row r="46" spans="1:4" ht="15.6" x14ac:dyDescent="0.3">
      <c r="A46" s="59"/>
      <c r="B46" s="12"/>
      <c r="C46" s="26"/>
      <c r="D46" s="17"/>
    </row>
    <row r="47" spans="1:4" ht="15.6" x14ac:dyDescent="0.3">
      <c r="A47" s="59" t="s">
        <v>33</v>
      </c>
      <c r="B47" s="12"/>
      <c r="C47" s="26"/>
      <c r="D47" s="17">
        <f>IF(B19&lt;0,0,ROUND(C48,2))</f>
        <v>1.1599999999999999</v>
      </c>
    </row>
    <row r="48" spans="1:4" ht="15.6" x14ac:dyDescent="0.3">
      <c r="A48" s="59"/>
      <c r="B48" s="12" t="s">
        <v>2</v>
      </c>
      <c r="C48" s="24">
        <f>'241 S'!C45</f>
        <v>1.1599999999999999</v>
      </c>
      <c r="D48" s="58"/>
    </row>
    <row r="49" spans="1:7" ht="15.6" x14ac:dyDescent="0.3">
      <c r="A49" s="59" t="s">
        <v>49</v>
      </c>
      <c r="B49" s="12"/>
      <c r="C49" s="12"/>
      <c r="D49" s="17">
        <f>IF($B$19&lt;0,0,IF($B$19&lt;2001,ROUND($B$19*C50,2),IF($B$19&gt;15000,ROUND(2000*C50,2)+ROUND(13000*C51,2)+ROUND(($B$19-15000)*C52,2),ROUND(2000*C50,2)+ROUND(($B$19-2000)*C51,2))))</f>
        <v>4.6500000000000004</v>
      </c>
    </row>
    <row r="50" spans="1:7" ht="15.6" x14ac:dyDescent="0.3">
      <c r="A50" s="88"/>
      <c r="B50" s="12" t="s">
        <v>4</v>
      </c>
      <c r="C50" s="13">
        <f>'241 S'!C48</f>
        <v>4.6499999999999996E-3</v>
      </c>
      <c r="D50" s="58"/>
    </row>
    <row r="51" spans="1:7" ht="15.6" x14ac:dyDescent="0.3">
      <c r="A51" s="59"/>
      <c r="B51" s="12" t="s">
        <v>5</v>
      </c>
      <c r="C51" s="13">
        <f>'241 S'!C49</f>
        <v>4.1900000000000001E-3</v>
      </c>
      <c r="D51" s="58"/>
    </row>
    <row r="52" spans="1:7" ht="15.6" x14ac:dyDescent="0.3">
      <c r="A52" s="59"/>
      <c r="B52" s="12" t="s">
        <v>6</v>
      </c>
      <c r="C52" s="13">
        <f>'241 S'!C50</f>
        <v>3.63E-3</v>
      </c>
      <c r="D52" s="58"/>
    </row>
    <row r="53" spans="1:7" ht="15.6" x14ac:dyDescent="0.3">
      <c r="A53" s="83"/>
      <c r="B53" s="27"/>
      <c r="C53" s="13"/>
      <c r="D53" s="58"/>
      <c r="E53" s="1"/>
      <c r="G53" s="1"/>
    </row>
    <row r="54" spans="1:7" ht="15.6" x14ac:dyDescent="0.3">
      <c r="A54" s="59" t="s">
        <v>67</v>
      </c>
      <c r="B54" s="12"/>
      <c r="C54" s="13"/>
      <c r="D54" s="57">
        <f>ROUND(C55*(D26+D32),2)</f>
        <v>3.19</v>
      </c>
      <c r="E54" s="1"/>
      <c r="G54" s="1"/>
    </row>
    <row r="55" spans="1:7" ht="15.6" x14ac:dyDescent="0.3">
      <c r="A55" s="23"/>
      <c r="B55" s="73" t="s">
        <v>26</v>
      </c>
      <c r="C55" s="19">
        <f>'241 S'!C53</f>
        <v>8.3150000000000002E-2</v>
      </c>
      <c r="D55" s="58"/>
      <c r="E55" s="1"/>
      <c r="G55" s="1"/>
    </row>
    <row r="56" spans="1:7" ht="15.6" x14ac:dyDescent="0.3">
      <c r="A56" s="23"/>
      <c r="B56" s="73"/>
      <c r="C56" s="19"/>
      <c r="D56" s="58"/>
      <c r="E56" s="1"/>
      <c r="G56" s="1"/>
    </row>
    <row r="57" spans="1:7" ht="15.6" x14ac:dyDescent="0.3">
      <c r="A57" s="59" t="s">
        <v>59</v>
      </c>
      <c r="B57" s="73"/>
      <c r="C57" s="60"/>
      <c r="D57" s="17">
        <f>IF($B$19&lt;0,0,ROUND(C58*$B$19,2))</f>
        <v>0</v>
      </c>
      <c r="E57" s="1"/>
      <c r="G57" s="1"/>
    </row>
    <row r="58" spans="1:7" ht="15.6" x14ac:dyDescent="0.3">
      <c r="A58" s="59"/>
      <c r="B58" s="12" t="s">
        <v>3</v>
      </c>
      <c r="C58" s="61">
        <v>0</v>
      </c>
      <c r="D58" s="58"/>
      <c r="E58" s="1"/>
      <c r="G58" s="1"/>
    </row>
    <row r="59" spans="1:7" ht="15.6" x14ac:dyDescent="0.3">
      <c r="A59" s="23"/>
      <c r="B59" s="73"/>
      <c r="C59" s="19"/>
      <c r="D59" s="58"/>
      <c r="E59" s="1"/>
      <c r="G59" s="1"/>
    </row>
    <row r="60" spans="1:7" ht="15.6" x14ac:dyDescent="0.3">
      <c r="A60" s="59" t="s">
        <v>60</v>
      </c>
      <c r="B60" s="12"/>
      <c r="C60" s="13"/>
      <c r="D60" s="58">
        <f>ROUND(C61,2)</f>
        <v>0.32</v>
      </c>
      <c r="E60" s="1"/>
      <c r="G60" s="1"/>
    </row>
    <row r="61" spans="1:7" ht="15.6" x14ac:dyDescent="0.3">
      <c r="A61" s="59"/>
      <c r="B61" s="12" t="s">
        <v>2</v>
      </c>
      <c r="C61" s="61">
        <v>0.32</v>
      </c>
      <c r="D61" s="58"/>
      <c r="E61" s="1"/>
      <c r="G61" s="1"/>
    </row>
    <row r="62" spans="1:7" ht="15.6" x14ac:dyDescent="0.3">
      <c r="A62" s="59"/>
      <c r="B62" s="12"/>
      <c r="C62" s="61"/>
      <c r="D62" s="58"/>
      <c r="E62" s="1"/>
      <c r="G62" s="1"/>
    </row>
    <row r="63" spans="1:7" ht="15.6" x14ac:dyDescent="0.3">
      <c r="A63" s="59" t="s">
        <v>61</v>
      </c>
      <c r="B63" s="12"/>
      <c r="C63" s="61"/>
      <c r="D63" s="58">
        <f>ROUND((D26+D32)*C64,2)</f>
        <v>4.0599999999999996</v>
      </c>
      <c r="E63" s="1"/>
      <c r="G63" s="1"/>
    </row>
    <row r="64" spans="1:7" ht="15.6" x14ac:dyDescent="0.3">
      <c r="A64" s="59"/>
      <c r="B64" s="73" t="s">
        <v>26</v>
      </c>
      <c r="C64" s="62">
        <f>'241 S'!C62</f>
        <v>0.105778</v>
      </c>
      <c r="D64" s="58"/>
      <c r="E64" s="1"/>
      <c r="G64" s="1"/>
    </row>
    <row r="65" spans="1:7" ht="15.6" x14ac:dyDescent="0.3">
      <c r="A65" s="59"/>
      <c r="B65" s="12"/>
      <c r="C65" s="13"/>
      <c r="D65" s="58"/>
      <c r="E65" s="1"/>
      <c r="G65" s="1"/>
    </row>
    <row r="66" spans="1:7" ht="15.6" x14ac:dyDescent="0.3">
      <c r="A66" s="23" t="s">
        <v>66</v>
      </c>
      <c r="B66" s="12"/>
      <c r="C66" s="13"/>
      <c r="D66" s="58"/>
    </row>
    <row r="67" spans="1:7" ht="15.6" x14ac:dyDescent="0.3">
      <c r="A67" s="59"/>
      <c r="B67" s="12"/>
      <c r="C67" s="13"/>
      <c r="D67" s="58"/>
    </row>
    <row r="68" spans="1:7" ht="15.6" x14ac:dyDescent="0.3">
      <c r="A68" s="59"/>
      <c r="B68" s="12"/>
      <c r="C68" s="13"/>
      <c r="D68" s="58"/>
    </row>
    <row r="69" spans="1:7" ht="15.6" x14ac:dyDescent="0.3">
      <c r="A69" s="59"/>
      <c r="B69" s="12"/>
      <c r="C69" s="13"/>
      <c r="D69" s="58"/>
    </row>
    <row r="70" spans="1:7" ht="15.6" x14ac:dyDescent="0.3">
      <c r="A70" s="23" t="s">
        <v>27</v>
      </c>
      <c r="B70" s="12"/>
      <c r="C70" s="13"/>
      <c r="D70" s="74">
        <f>ROUND(C71,2)</f>
        <v>1.82</v>
      </c>
    </row>
    <row r="71" spans="1:7" ht="15.6" x14ac:dyDescent="0.3">
      <c r="A71" s="23"/>
      <c r="B71" s="73" t="s">
        <v>68</v>
      </c>
      <c r="C71" s="75">
        <f>'241 S'!C69</f>
        <v>1.82</v>
      </c>
      <c r="D71" s="58"/>
    </row>
    <row r="72" spans="1:7" ht="15.6" x14ac:dyDescent="0.3">
      <c r="A72" s="59"/>
      <c r="B72" s="12"/>
      <c r="C72" s="13"/>
      <c r="D72" s="58"/>
    </row>
    <row r="73" spans="1:7" ht="15.6" x14ac:dyDescent="0.3">
      <c r="A73" s="23" t="s">
        <v>55</v>
      </c>
      <c r="B73" s="12"/>
      <c r="C73" s="12"/>
      <c r="D73" s="74">
        <f>IF($B$19&lt;0,0,ROUND(C74*$B$19,2))</f>
        <v>6.61</v>
      </c>
    </row>
    <row r="74" spans="1:7" ht="15.6" x14ac:dyDescent="0.3">
      <c r="A74" s="59"/>
      <c r="B74" s="12" t="s">
        <v>3</v>
      </c>
      <c r="C74" s="13">
        <f>'241 S'!C72</f>
        <v>6.6108E-3</v>
      </c>
      <c r="D74" s="58"/>
    </row>
    <row r="75" spans="1:7" ht="15.6" x14ac:dyDescent="0.3">
      <c r="A75" s="59"/>
      <c r="B75" s="12"/>
      <c r="C75" s="13"/>
      <c r="D75" s="58"/>
    </row>
    <row r="76" spans="1:7" ht="15.6" x14ac:dyDescent="0.3">
      <c r="A76" s="23" t="s">
        <v>56</v>
      </c>
      <c r="B76" s="12"/>
      <c r="C76" s="13"/>
      <c r="D76" s="17">
        <f>ROUND((D26+D32)*C77,2)</f>
        <v>-0.74</v>
      </c>
    </row>
    <row r="77" spans="1:7" ht="15.6" x14ac:dyDescent="0.3">
      <c r="A77" s="23"/>
      <c r="B77" s="12" t="s">
        <v>26</v>
      </c>
      <c r="C77" s="19">
        <f>'241 S'!C75</f>
        <v>-1.9311999999999999E-2</v>
      </c>
      <c r="D77" s="58"/>
    </row>
    <row r="78" spans="1:7" ht="15.6" x14ac:dyDescent="0.3">
      <c r="A78" s="59"/>
      <c r="B78" s="12"/>
      <c r="C78" s="13"/>
      <c r="D78" s="58"/>
    </row>
    <row r="79" spans="1:7" ht="15.6" x14ac:dyDescent="0.3">
      <c r="A79" s="76" t="s">
        <v>12</v>
      </c>
      <c r="B79" s="77"/>
      <c r="C79" s="13"/>
      <c r="D79" s="17">
        <f>SUM(D29:D76)</f>
        <v>51.999999999999993</v>
      </c>
    </row>
    <row r="80" spans="1:7" ht="15.6" x14ac:dyDescent="0.3">
      <c r="A80" s="59"/>
      <c r="B80" s="12"/>
      <c r="C80" s="13"/>
      <c r="D80" s="58"/>
    </row>
    <row r="81" spans="1:5" ht="16.2" thickBot="1" x14ac:dyDescent="0.35">
      <c r="A81" s="78" t="s">
        <v>51</v>
      </c>
      <c r="B81" s="79"/>
      <c r="C81" s="80"/>
      <c r="D81" s="81">
        <f>D79+D26</f>
        <v>61.749999999999993</v>
      </c>
      <c r="E81" s="1"/>
    </row>
    <row r="82" spans="1:5" ht="15.6" x14ac:dyDescent="0.3">
      <c r="A82" s="27"/>
      <c r="B82" s="12"/>
      <c r="C82" s="12"/>
      <c r="D82" s="30"/>
      <c r="E82" s="1"/>
    </row>
    <row r="83" spans="1:5" ht="16.2" thickBot="1" x14ac:dyDescent="0.35">
      <c r="A83" s="32" t="s">
        <v>13</v>
      </c>
      <c r="B83" s="32"/>
      <c r="C83" s="33"/>
      <c r="D83" s="34"/>
      <c r="E83" s="1"/>
    </row>
    <row r="84" spans="1:5" ht="16.2" thickTop="1" x14ac:dyDescent="0.3">
      <c r="A84" s="35" t="s">
        <v>25</v>
      </c>
      <c r="B84" s="36"/>
      <c r="C84" s="36"/>
      <c r="D84" s="15">
        <f>IF($B$19&gt;0,IF(ABS($B$19)&lt;751,ROUND(ABS($B$19)*C85,2),ROUND(750*C85,2)+ROUND((ABS($B$19)-750)*C86,2)),IF(ABS($B$19)&lt;751,ROUND(ABS($B$19)*-C85,2),ROUND(750*-C85,2)+ROUND((ABS($B$19)-750)*-C86,2)))</f>
        <v>81.13</v>
      </c>
      <c r="E84" s="1"/>
    </row>
    <row r="85" spans="1:5" ht="15.6" x14ac:dyDescent="0.3">
      <c r="A85" s="37"/>
      <c r="B85" s="12" t="s">
        <v>7</v>
      </c>
      <c r="C85" s="13">
        <f>'241 S'!C84</f>
        <v>8.1127699999999997E-2</v>
      </c>
      <c r="D85" s="38"/>
    </row>
    <row r="86" spans="1:5" ht="15.6" x14ac:dyDescent="0.3">
      <c r="A86" s="37"/>
      <c r="B86" s="12" t="s">
        <v>8</v>
      </c>
      <c r="C86" s="13">
        <f>'241 S'!C85</f>
        <v>8.1127699999999997E-2</v>
      </c>
      <c r="D86" s="38"/>
    </row>
    <row r="87" spans="1:5" ht="15.6" x14ac:dyDescent="0.3">
      <c r="A87" s="39"/>
      <c r="B87" s="27"/>
      <c r="C87" s="12"/>
      <c r="D87" s="38"/>
    </row>
    <row r="88" spans="1:5" ht="16.2" thickBot="1" x14ac:dyDescent="0.35">
      <c r="A88" s="40" t="s">
        <v>14</v>
      </c>
      <c r="B88" s="41"/>
      <c r="C88" s="42"/>
      <c r="D88" s="43">
        <f>SUM(D84)</f>
        <v>81.13</v>
      </c>
    </row>
    <row r="89" spans="1:5" ht="16.2" thickTop="1" x14ac:dyDescent="0.3">
      <c r="A89" s="44"/>
      <c r="B89" s="27"/>
      <c r="C89" s="12"/>
      <c r="D89" s="20"/>
    </row>
    <row r="90" spans="1:5" ht="16.2" thickBot="1" x14ac:dyDescent="0.35">
      <c r="A90" s="28" t="s">
        <v>15</v>
      </c>
      <c r="B90" s="92"/>
      <c r="C90" s="92"/>
      <c r="D90" s="29">
        <f>D88+D81</f>
        <v>142.88</v>
      </c>
    </row>
    <row r="91" spans="1:5" ht="16.8" thickTop="1" thickBot="1" x14ac:dyDescent="0.35">
      <c r="A91" s="12"/>
      <c r="B91" s="12"/>
      <c r="C91" s="12"/>
      <c r="D91" s="12"/>
    </row>
    <row r="92" spans="1:5" ht="16.2" thickTop="1" x14ac:dyDescent="0.3">
      <c r="A92" s="27"/>
      <c r="B92" s="89" t="s">
        <v>39</v>
      </c>
      <c r="C92" s="90"/>
      <c r="D92" s="91"/>
    </row>
    <row r="93" spans="1:5" ht="15.6" x14ac:dyDescent="0.3">
      <c r="A93" s="12"/>
      <c r="B93" s="47" t="s">
        <v>38</v>
      </c>
      <c r="C93" s="48"/>
      <c r="D93" s="46"/>
    </row>
    <row r="94" spans="1:5" ht="15.6" x14ac:dyDescent="0.3">
      <c r="A94" s="12"/>
      <c r="B94" s="49" t="s">
        <v>10</v>
      </c>
      <c r="C94" s="12"/>
      <c r="D94" s="50">
        <f>D26</f>
        <v>9.75</v>
      </c>
    </row>
    <row r="95" spans="1:5" ht="15.6" x14ac:dyDescent="0.3">
      <c r="A95" s="12"/>
      <c r="B95" s="49" t="s">
        <v>16</v>
      </c>
      <c r="C95" s="12"/>
      <c r="D95" s="50">
        <f>D79</f>
        <v>51.999999999999993</v>
      </c>
    </row>
    <row r="96" spans="1:5" ht="15.6" x14ac:dyDescent="0.3">
      <c r="A96" s="12"/>
      <c r="B96" s="51" t="s">
        <v>40</v>
      </c>
      <c r="C96" s="27"/>
      <c r="D96" s="52">
        <f>D81</f>
        <v>61.749999999999993</v>
      </c>
    </row>
    <row r="97" spans="1:8" ht="15.6" x14ac:dyDescent="0.3">
      <c r="A97" s="12"/>
      <c r="B97" s="49"/>
      <c r="C97" s="12"/>
      <c r="D97" s="50"/>
    </row>
    <row r="98" spans="1:8" ht="15.6" x14ac:dyDescent="0.3">
      <c r="A98" s="12"/>
      <c r="B98" s="53" t="s">
        <v>13</v>
      </c>
      <c r="C98" s="12"/>
      <c r="D98" s="52"/>
    </row>
    <row r="99" spans="1:8" ht="16.2" thickBot="1" x14ac:dyDescent="0.35">
      <c r="A99" s="27"/>
      <c r="B99" s="54" t="s">
        <v>17</v>
      </c>
      <c r="C99" s="55"/>
      <c r="D99" s="56">
        <f>D88</f>
        <v>81.13</v>
      </c>
    </row>
    <row r="100" spans="1:8" ht="15" thickTop="1" x14ac:dyDescent="0.3">
      <c r="A100" s="2"/>
      <c r="B100" s="2"/>
      <c r="C100" s="2"/>
      <c r="D100" s="2"/>
    </row>
    <row r="101" spans="1:8" x14ac:dyDescent="0.3">
      <c r="H101" s="1"/>
    </row>
    <row r="103" spans="1:8" x14ac:dyDescent="0.3">
      <c r="A103" s="1"/>
      <c r="D103" s="1"/>
    </row>
    <row r="106" spans="1:8" x14ac:dyDescent="0.3">
      <c r="A106" s="1"/>
    </row>
    <row r="107" spans="1:8" x14ac:dyDescent="0.3">
      <c r="A107" s="1"/>
    </row>
    <row r="110" spans="1:8" x14ac:dyDescent="0.3">
      <c r="A110" s="1"/>
      <c r="B110" s="1"/>
    </row>
  </sheetData>
  <sheetProtection algorithmName="SHA-512" hashValue="L0HQIj+SmnaDoDvrLQNLAjfKIFiaj0g0xXKY5/t5pCtDYS/hnEoX2Hco+ELOf8l5IHWS25Z2MY7yQ4OSSVv0Cw==" saltValue="idrmuYp4dqk1lZzprOwYEA==" spinCount="100000" sheet="1" selectLockedCells="1"/>
  <mergeCells count="10">
    <mergeCell ref="A13:D13"/>
    <mergeCell ref="B90:C90"/>
    <mergeCell ref="B92:D92"/>
    <mergeCell ref="A7:D7"/>
    <mergeCell ref="A1:D1"/>
    <mergeCell ref="A2:D2"/>
    <mergeCell ref="A5:D5"/>
    <mergeCell ref="A6:D6"/>
    <mergeCell ref="A8:D8"/>
    <mergeCell ref="A12:D12"/>
  </mergeCells>
  <conditionalFormatting sqref="C1:D6 C35:C36 C93:D65539">
    <cfRule type="cellIs" dxfId="3" priority="18" operator="lessThan">
      <formula>0</formula>
    </cfRule>
  </conditionalFormatting>
  <conditionalFormatting sqref="C9:D34">
    <cfRule type="cellIs" dxfId="2" priority="6" operator="lessThan">
      <formula>0</formula>
    </cfRule>
  </conditionalFormatting>
  <conditionalFormatting sqref="C36:D91">
    <cfRule type="cellIs" dxfId="1" priority="1" operator="lessThan">
      <formula>0</formula>
    </cfRule>
  </conditionalFormatting>
  <conditionalFormatting sqref="D35">
    <cfRule type="cellIs" dxfId="0" priority="8" operator="lessThan">
      <formula>0</formula>
    </cfRule>
  </conditionalFormatting>
  <dataValidations count="2">
    <dataValidation type="decimal" errorStyle="information" allowBlank="1" showInputMessage="1" showErrorMessage="1" errorTitle="Invalid Entry" error="This cell must contain a positive number." sqref="B17:B18" xr:uid="{00000000-0002-0000-0100-000000000000}">
      <formula1>0</formula1>
      <formula2>100000000</formula2>
    </dataValidation>
    <dataValidation type="decimal" errorStyle="information" allowBlank="1" showInputMessage="1" showErrorMessage="1" errorTitle="Invalid entry" error="This cell must contain a positive number._x000a_" sqref="B19" xr:uid="{00000000-0002-0000-0100-000001000000}">
      <formula1>0</formula1>
      <formula2>100000000</formula2>
    </dataValidation>
  </dataValidations>
  <printOptions horizontalCentered="1"/>
  <pageMargins left="0.7" right="0.7" top="0.75" bottom="0.75" header="0.3" footer="0.3"/>
  <pageSetup scale="85" fitToHeight="2" orientation="portrait" r:id="rId1"/>
  <headerFooter>
    <oddHeader xml:space="preserve">&amp;L&amp;G&amp;R&amp;"Arial,Regular"&amp;12Effective April 1, 2024
</oddHeader>
    <oddFooter xml:space="preserve">&amp;L&amp;"Arial,Regular"Worksheet valid for calculating bills starting on April 1, 2024.  Summer months include June, July, August, September and October.   </oddFooter>
  </headerFooter>
  <customProperties>
    <customPr name="EpmWorksheetKeyString_GUID" r:id="rId2"/>
  </customPropertie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DA127EFEA643A071466D67462D58" ma:contentTypeVersion="18" ma:contentTypeDescription="Create a new document." ma:contentTypeScope="" ma:versionID="bb4d01d89fac8602414c897f6783ecea">
  <xsd:schema xmlns:xsd="http://www.w3.org/2001/XMLSchema" xmlns:xs="http://www.w3.org/2001/XMLSchema" xmlns:p="http://schemas.microsoft.com/office/2006/metadata/properties" xmlns:ns2="64e94169-021c-4578-be09-6006b4dea068" xmlns:ns3="8e537545-18ac-42cc-8f2a-89499299f0e1" targetNamespace="http://schemas.microsoft.com/office/2006/metadata/properties" ma:root="true" ma:fieldsID="adac88aae904a8fc569624feeb3c92b0" ns2:_="" ns3:_="">
    <xsd:import namespace="64e94169-021c-4578-be09-6006b4dea068"/>
    <xsd:import namespace="8e537545-18ac-42cc-8f2a-89499299f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94169-021c-4578-be09-6006b4dea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37545-18ac-42cc-8f2a-89499299f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5159a9-6d9c-4454-b472-74cf3cb3e2d5}" ma:internalName="TaxCatchAll" ma:showField="CatchAllData" ma:web="8e537545-18ac-42cc-8f2a-89499299f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e94169-021c-4578-be09-6006b4dea068" xsi:nil="true"/>
    <TaxCatchAll xmlns="8e537545-18ac-42cc-8f2a-89499299f0e1" xsi:nil="true"/>
    <lcf76f155ced4ddcb4097134ff3c332f xmlns="64e94169-021c-4578-be09-6006b4dea06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6FDBA-3BE0-48E2-B49B-BB3DA4796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94169-021c-4578-be09-6006b4dea068"/>
    <ds:schemaRef ds:uri="8e537545-18ac-42cc-8f2a-89499299f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3463B2-F8C1-4B1A-BB52-B8D62A223E47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64e94169-021c-4578-be09-6006b4dea06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e537545-18ac-42cc-8f2a-89499299f0e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FEC679-DF9C-46BF-A92E-EF3199F5E2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241 S</vt:lpstr>
      <vt:lpstr>241 S - Net Metering</vt:lpstr>
      <vt:lpstr>Sheet2</vt:lpstr>
      <vt:lpstr>Sheet3</vt:lpstr>
    </vt:vector>
  </TitlesOfParts>
  <Company>The Dayton Power and Light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Blevins</dc:creator>
  <cp:lastModifiedBy>Sakshee Vaidya</cp:lastModifiedBy>
  <cp:lastPrinted>2016-03-29T17:29:24Z</cp:lastPrinted>
  <dcterms:created xsi:type="dcterms:W3CDTF">2010-05-07T13:35:59Z</dcterms:created>
  <dcterms:modified xsi:type="dcterms:W3CDTF">2024-03-29T13:42:45Z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0x010100F335DA127EFEA643A071466D67462D58</vt:lpwstr>
  </property>
  <property fmtid="{D5CDD505-2E9C-101B-9397-08002B2CF9AE}" pid="3" name="MediaServiceImageTags">
    <vt:lpwstr/>
  </property>
</Properties>
</file>